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додаток 8" sheetId="2" r:id="rId1"/>
  </sheets>
  <calcPr calcId="125725" refMode="R1C1"/>
  <fileRecoveryPr autoRecover="0"/>
</workbook>
</file>

<file path=xl/calcChain.xml><?xml version="1.0" encoding="utf-8"?>
<calcChain xmlns="http://schemas.openxmlformats.org/spreadsheetml/2006/main">
  <c r="K14" i="2"/>
  <c r="J14"/>
  <c r="K69"/>
  <c r="J69"/>
  <c r="K67"/>
  <c r="J67"/>
  <c r="K60"/>
  <c r="J60"/>
  <c r="K71"/>
  <c r="J71"/>
  <c r="K115"/>
  <c r="J115"/>
  <c r="K31"/>
  <c r="J31"/>
  <c r="K29"/>
  <c r="J29"/>
  <c r="K99"/>
  <c r="J99"/>
  <c r="K44"/>
  <c r="J44"/>
  <c r="K9"/>
  <c r="J9"/>
  <c r="K96"/>
  <c r="J96"/>
  <c r="K95"/>
  <c r="J95"/>
  <c r="K108"/>
  <c r="J108"/>
  <c r="K107"/>
  <c r="J107"/>
  <c r="K111"/>
  <c r="J111"/>
  <c r="K87"/>
  <c r="J87"/>
  <c r="K37"/>
  <c r="J37"/>
  <c r="K83"/>
  <c r="J83"/>
  <c r="K82"/>
  <c r="J82"/>
  <c r="K20"/>
  <c r="J20"/>
  <c r="K63"/>
  <c r="J63"/>
  <c r="K114"/>
  <c r="J114"/>
  <c r="K105"/>
  <c r="J105"/>
  <c r="K62"/>
  <c r="J62"/>
  <c r="K92"/>
  <c r="J92"/>
  <c r="K90"/>
  <c r="J90"/>
  <c r="K85"/>
  <c r="J85"/>
  <c r="K84"/>
  <c r="J84"/>
  <c r="K102"/>
  <c r="J102"/>
  <c r="K101"/>
  <c r="J101"/>
  <c r="M65"/>
  <c r="L65"/>
  <c r="K65"/>
  <c r="J65"/>
  <c r="K28"/>
  <c r="M28"/>
  <c r="J28"/>
  <c r="L28"/>
  <c r="O127"/>
  <c r="K47"/>
  <c r="J47"/>
  <c r="K97"/>
  <c r="J97"/>
  <c r="K106"/>
  <c r="J106"/>
  <c r="K104"/>
  <c r="J104"/>
  <c r="K91"/>
  <c r="J91"/>
  <c r="K126"/>
  <c r="J126"/>
  <c r="K125"/>
  <c r="J125"/>
  <c r="K124"/>
  <c r="J124"/>
  <c r="K121"/>
  <c r="J121"/>
  <c r="K27"/>
  <c r="M27"/>
  <c r="J27"/>
  <c r="L27"/>
  <c r="M14"/>
  <c r="M15"/>
  <c r="L14"/>
  <c r="L15"/>
  <c r="K15"/>
  <c r="J15"/>
  <c r="M34"/>
  <c r="L34"/>
  <c r="K34"/>
  <c r="J34"/>
  <c r="K26"/>
  <c r="M26"/>
  <c r="J26"/>
  <c r="L26"/>
  <c r="M46"/>
  <c r="L46"/>
  <c r="K46"/>
  <c r="J46"/>
  <c r="K13"/>
  <c r="J13"/>
  <c r="K93"/>
  <c r="J93"/>
  <c r="K94"/>
  <c r="J94"/>
  <c r="K78"/>
  <c r="J78"/>
  <c r="M64"/>
  <c r="L64"/>
  <c r="K64"/>
  <c r="J64"/>
  <c r="M33"/>
  <c r="L33"/>
  <c r="K33"/>
  <c r="J33"/>
  <c r="K72"/>
  <c r="M72" s="1"/>
  <c r="J72"/>
  <c r="L72" s="1"/>
  <c r="M63"/>
  <c r="L63"/>
  <c r="N36"/>
  <c r="K12"/>
  <c r="J12"/>
  <c r="K117"/>
  <c r="J117"/>
  <c r="K116"/>
  <c r="J116"/>
  <c r="K81"/>
  <c r="J81"/>
  <c r="K100"/>
  <c r="J100"/>
  <c r="M25"/>
  <c r="L25"/>
  <c r="K25"/>
  <c r="J25"/>
  <c r="H128"/>
  <c r="K98"/>
  <c r="J98"/>
  <c r="K43"/>
  <c r="J43"/>
  <c r="K86"/>
  <c r="J86"/>
  <c r="K59"/>
  <c r="J59"/>
  <c r="K80"/>
  <c r="J80"/>
  <c r="K22"/>
  <c r="J22"/>
  <c r="K77"/>
  <c r="J77"/>
  <c r="K118" l="1"/>
  <c r="J118"/>
  <c r="K122"/>
  <c r="J122"/>
  <c r="K127"/>
  <c r="J127"/>
  <c r="K19"/>
  <c r="M19" s="1"/>
  <c r="J19"/>
  <c r="L19"/>
  <c r="K36"/>
  <c r="M36"/>
  <c r="J36"/>
  <c r="L36"/>
  <c r="K35"/>
  <c r="M35"/>
  <c r="J35"/>
  <c r="L35"/>
  <c r="K70"/>
  <c r="J70"/>
  <c r="M69"/>
  <c r="M70"/>
  <c r="L69"/>
  <c r="L70"/>
  <c r="M67"/>
  <c r="L67"/>
  <c r="K52"/>
  <c r="J52"/>
  <c r="K113"/>
  <c r="J113"/>
  <c r="K112"/>
  <c r="J112"/>
  <c r="K120"/>
  <c r="J120"/>
  <c r="K119"/>
  <c r="J119"/>
  <c r="K123"/>
  <c r="J123"/>
  <c r="M24" l="1"/>
  <c r="L24"/>
  <c r="K24"/>
  <c r="J24"/>
  <c r="M45"/>
  <c r="L45"/>
  <c r="K45"/>
  <c r="J45"/>
  <c r="M44"/>
  <c r="L44"/>
  <c r="M71"/>
  <c r="L71"/>
  <c r="K18"/>
  <c r="M18"/>
  <c r="J18"/>
  <c r="L18" s="1"/>
  <c r="K32"/>
  <c r="M32" s="1"/>
  <c r="J32"/>
  <c r="L32" s="1"/>
  <c r="K17"/>
  <c r="M17" s="1"/>
  <c r="J17"/>
  <c r="L17" s="1"/>
  <c r="G128"/>
  <c r="F114"/>
  <c r="F88"/>
  <c r="F128" s="1"/>
  <c r="F87"/>
  <c r="M122" l="1"/>
  <c r="L122"/>
  <c r="M127"/>
  <c r="L127"/>
  <c r="M126"/>
  <c r="L126"/>
  <c r="M125"/>
  <c r="L125"/>
  <c r="M124"/>
  <c r="L124"/>
  <c r="M121"/>
  <c r="L121"/>
  <c r="M123"/>
  <c r="L123"/>
  <c r="M119"/>
  <c r="M120"/>
  <c r="L119"/>
  <c r="L120"/>
  <c r="M31"/>
  <c r="L31"/>
  <c r="K68"/>
  <c r="M68" s="1"/>
  <c r="J68"/>
  <c r="L68" s="1"/>
  <c r="K66"/>
  <c r="M66" s="1"/>
  <c r="J66"/>
  <c r="L66" s="1"/>
  <c r="K23"/>
  <c r="M23" s="1"/>
  <c r="J23"/>
  <c r="L23" s="1"/>
  <c r="K30"/>
  <c r="M30" s="1"/>
  <c r="J30"/>
  <c r="L30" s="1"/>
  <c r="K76"/>
  <c r="M76" s="1"/>
  <c r="J76"/>
  <c r="L76" s="1"/>
  <c r="K58"/>
  <c r="M58" s="1"/>
  <c r="J58"/>
  <c r="L58" s="1"/>
  <c r="M13"/>
  <c r="L13"/>
  <c r="K11"/>
  <c r="M11" s="1"/>
  <c r="J11"/>
  <c r="L11" s="1"/>
  <c r="K50"/>
  <c r="M50" s="1"/>
  <c r="J50"/>
  <c r="L50" s="1"/>
  <c r="M29" l="1"/>
  <c r="L29"/>
  <c r="K16"/>
  <c r="M16" s="1"/>
  <c r="J16"/>
  <c r="L16" s="1"/>
  <c r="M60" l="1"/>
  <c r="L60"/>
  <c r="K21"/>
  <c r="M21" s="1"/>
  <c r="J21"/>
  <c r="L21" s="1"/>
  <c r="K75"/>
  <c r="M75" s="1"/>
  <c r="J75"/>
  <c r="L75" s="1"/>
  <c r="K57"/>
  <c r="M57" s="1"/>
  <c r="J57"/>
  <c r="L57" s="1"/>
  <c r="K51"/>
  <c r="M51" s="1"/>
  <c r="J51"/>
  <c r="L51" s="1"/>
  <c r="M52"/>
  <c r="L52"/>
  <c r="M20"/>
  <c r="L20"/>
  <c r="K74"/>
  <c r="M74" s="1"/>
  <c r="J74"/>
  <c r="L74" s="1"/>
  <c r="K56"/>
  <c r="M56" s="1"/>
  <c r="J56"/>
  <c r="L56" s="1"/>
  <c r="K49"/>
  <c r="M49" s="1"/>
  <c r="J49"/>
  <c r="L49" s="1"/>
  <c r="K48"/>
  <c r="M48" s="1"/>
  <c r="J48"/>
  <c r="L48" s="1"/>
  <c r="K42"/>
  <c r="M42" s="1"/>
  <c r="J42"/>
  <c r="L42" s="1"/>
  <c r="M118"/>
  <c r="L118"/>
  <c r="N127" s="1"/>
  <c r="M12"/>
  <c r="L12"/>
  <c r="M47"/>
  <c r="L47"/>
  <c r="K10"/>
  <c r="M10" s="1"/>
  <c r="J10"/>
  <c r="L10" s="1"/>
  <c r="K41"/>
  <c r="M41" s="1"/>
  <c r="J41"/>
  <c r="L41" s="1"/>
  <c r="K55"/>
  <c r="M55" s="1"/>
  <c r="J55"/>
  <c r="L55" s="1"/>
  <c r="K73"/>
  <c r="M73" s="1"/>
  <c r="J73"/>
  <c r="L73" s="1"/>
  <c r="K54"/>
  <c r="M54" s="1"/>
  <c r="J54"/>
  <c r="L54" s="1"/>
  <c r="K53"/>
  <c r="M53" s="1"/>
  <c r="J53"/>
  <c r="L53" s="1"/>
  <c r="K40"/>
  <c r="M40" s="1"/>
  <c r="J40"/>
  <c r="L40" s="1"/>
  <c r="M85"/>
  <c r="L85"/>
  <c r="K88"/>
  <c r="M88" s="1"/>
  <c r="J88"/>
  <c r="M106"/>
  <c r="L106"/>
  <c r="M114"/>
  <c r="L114" l="1"/>
  <c r="L88"/>
  <c r="L93"/>
  <c r="M93"/>
  <c r="M87"/>
  <c r="L87" l="1"/>
  <c r="L111"/>
  <c r="K39"/>
  <c r="M39" s="1"/>
  <c r="J39"/>
  <c r="L39" s="1"/>
  <c r="K38"/>
  <c r="M38" s="1"/>
  <c r="J38"/>
  <c r="L38" s="1"/>
  <c r="M62"/>
  <c r="L62"/>
  <c r="M96"/>
  <c r="L96"/>
  <c r="M92"/>
  <c r="L92"/>
  <c r="M111"/>
  <c r="K89"/>
  <c r="J89"/>
  <c r="M91" l="1"/>
  <c r="L91"/>
  <c r="M90"/>
  <c r="L90"/>
  <c r="K110" l="1"/>
  <c r="M110" s="1"/>
  <c r="J110"/>
  <c r="L110" s="1"/>
  <c r="K109"/>
  <c r="M109" s="1"/>
  <c r="J109"/>
  <c r="L109" s="1"/>
  <c r="M95"/>
  <c r="L95"/>
  <c r="M108"/>
  <c r="L108"/>
  <c r="M107"/>
  <c r="L107"/>
  <c r="M99"/>
  <c r="L99"/>
  <c r="M104"/>
  <c r="L104"/>
  <c r="M94"/>
  <c r="L94"/>
  <c r="M105"/>
  <c r="L105" l="1"/>
  <c r="M43"/>
  <c r="L43"/>
  <c r="K103" l="1"/>
  <c r="M103" s="1"/>
  <c r="J103"/>
  <c r="M84"/>
  <c r="L84"/>
  <c r="M113"/>
  <c r="M102"/>
  <c r="O103" s="1"/>
  <c r="L102"/>
  <c r="N103" s="1"/>
  <c r="M83"/>
  <c r="L83"/>
  <c r="M98"/>
  <c r="L98"/>
  <c r="M117"/>
  <c r="L117"/>
  <c r="M82"/>
  <c r="L82"/>
  <c r="M97"/>
  <c r="L97"/>
  <c r="M112"/>
  <c r="L112"/>
  <c r="M81"/>
  <c r="L81"/>
  <c r="M101"/>
  <c r="L101"/>
  <c r="M100"/>
  <c r="L100"/>
  <c r="L113" l="1"/>
  <c r="L103"/>
  <c r="M115"/>
  <c r="M116"/>
  <c r="L116"/>
  <c r="I128"/>
  <c r="M80"/>
  <c r="M86"/>
  <c r="M89"/>
  <c r="L80"/>
  <c r="L86"/>
  <c r="L89"/>
  <c r="K61"/>
  <c r="M61" s="1"/>
  <c r="J61"/>
  <c r="L115" l="1"/>
  <c r="M9"/>
  <c r="M77"/>
  <c r="M78"/>
  <c r="L9"/>
  <c r="L78"/>
  <c r="K79"/>
  <c r="M79" s="1"/>
  <c r="J79"/>
  <c r="L79" s="1"/>
  <c r="M22"/>
  <c r="L22"/>
  <c r="M59"/>
  <c r="M37"/>
  <c r="M128" s="1"/>
  <c r="O129" s="1"/>
  <c r="L61"/>
  <c r="J128" l="1"/>
  <c r="K128"/>
  <c r="L37"/>
  <c r="L59"/>
  <c r="L77"/>
  <c r="L128" l="1"/>
  <c r="N129" s="1"/>
</calcChain>
</file>

<file path=xl/sharedStrings.xml><?xml version="1.0" encoding="utf-8"?>
<sst xmlns="http://schemas.openxmlformats.org/spreadsheetml/2006/main" count="150" uniqueCount="89">
  <si>
    <t>Торговельна назва</t>
  </si>
  <si>
    <t>Головний бухгалтер</t>
  </si>
  <si>
    <t>КПКВ</t>
  </si>
  <si>
    <t>Наказ</t>
  </si>
  <si>
    <t>Дата</t>
  </si>
  <si>
    <t>№</t>
  </si>
  <si>
    <t>Залишок на початок року</t>
  </si>
  <si>
    <t>Кількість</t>
  </si>
  <si>
    <t>Сума</t>
  </si>
  <si>
    <t>Отримано</t>
  </si>
  <si>
    <t>Фактично використано</t>
  </si>
  <si>
    <t>Залишок невикористаних препаратів</t>
  </si>
  <si>
    <t>ІНФОРМАЦІЯ</t>
  </si>
  <si>
    <t>Додаток 8</t>
  </si>
  <si>
    <t>ДП Укр вакцина</t>
  </si>
  <si>
    <t>Піразинамід (таб.0,5 г)</t>
  </si>
  <si>
    <t>Пайзина, таблетки по 500 мг по 100 таблеток у банках</t>
  </si>
  <si>
    <t>Авелокс, таблетки, вкриті оболонкою, по 400 мг. по 5 таблеток у блистері, по 1 блістеру в карт. пачці з маркув. укр. мовою</t>
  </si>
  <si>
    <t>Комбутол, таблетки по 400 мг по1000 таблеток у пластикових банках</t>
  </si>
  <si>
    <t>ПАСК натрієва сіль, порошок для орального розчину по 5,52г по 12,5г (5,52г) порошок в пакетику; по 25 пакетиків у коробці з картону</t>
  </si>
  <si>
    <t>Канаміцин, порошок для розчину для інєкцій по1,0г. флакон з порошком; 10 флаконів з порошком у контурній чарунковій упаковці; по 1 контурній чарунковій упаковці в пачці з маркування українською мовою</t>
  </si>
  <si>
    <t>Ізоніазид (таб. 0,1 г)</t>
  </si>
  <si>
    <t>Комбутол (таб. 400 мл)</t>
  </si>
  <si>
    <t>BD BACTEC ™MGIT™ 960-Calibrators Kit (Calibration Vial) BD BACTEC ™MGIT™ 960-набір для калібровки (кат.№445871) Упаковка 17 пробірок</t>
  </si>
  <si>
    <t>ДУО "По-літехмед"</t>
  </si>
  <si>
    <t>Разом</t>
  </si>
  <si>
    <t>Гавриш І.І.</t>
  </si>
  <si>
    <t>Александрова К.Л.</t>
  </si>
  <si>
    <t>КМУ- обласний клінічний протитуберкульозний диспансер</t>
  </si>
  <si>
    <t>(установа, заклад)</t>
  </si>
  <si>
    <t>Постача-льник</t>
  </si>
  <si>
    <t>Головний лікар</t>
  </si>
  <si>
    <t>ДП "Укрме-дпостач"  МОЗ України</t>
  </si>
  <si>
    <t>Натрію аміносаліцилат, гранули кишковорозчинні, 0,8г/1г по 100г у пакеті №1</t>
  </si>
  <si>
    <t>Теризидон, капсули тверді по 250 мг №10</t>
  </si>
  <si>
    <t>Ізониазид, сироп, 100 мг/5 мл, по 200 мл у флаконі полімерному</t>
  </si>
  <si>
    <t>Інбутол, розчин для ін'єкцій, 100мг/мл, по 20 мл. у флаконі</t>
  </si>
  <si>
    <t>Канаміцин, порошок для розчину для інєкцій по1,0 г у флаконах</t>
  </si>
  <si>
    <t>Капреоміцин, порошок для розчину ін'єкцій по 1,0 г у флаконах</t>
  </si>
  <si>
    <t>Макрозид (піразинамід), таблетки по 500 мг, по 10 таблеток у блістері; по 10 блістерів у картонній упаковці з маркуванням українською мовою</t>
  </si>
  <si>
    <t>Макокс (рифампіцин) 150, капсули по 150 мг, по 10 капсул у блістері; по 10 блістерів у картоній коробці з маркуванням української мовою</t>
  </si>
  <si>
    <t>Левомак (левофлоксацин), таблетки вкриті плівкою оболонкою по 500 мг, по 5 таблеток у блістері; по 4 блістери, з'єднаних між собою; по 5 блістерів з'єднаних між собою в упаковці з маркуванням українською мовою</t>
  </si>
  <si>
    <t>Левомак (левофлоксацин), таблетки вкриті плівкою оболонкою по 250 мг, по 5 таблеток у блістері; по 4 блістери, з'єднаних між собою; по 5 блістерів з'єднаних між собою в упаковці з маркуванням українською мовою</t>
  </si>
  <si>
    <t>Рифабутин, капсули по 150 мг. По 10 капсул у блістері; по 3 блістери в картоній упаковці з маркуванням українською та англійською мовами</t>
  </si>
  <si>
    <t>Ізоніазид, таблетки по 100 мг по 10 таблеток у блістері, по 10 блістерів у картоній упаковці, маркування українською мовою</t>
  </si>
  <si>
    <t>Ізоніазид, таблетки по 300 мг по 10 таблеток у блістері, по 10 блістерів у картоній упаковці, маркування українською мовою</t>
  </si>
  <si>
    <t>Протомід, таблетки вкриті оболонкою, по 250 мг по 10 таблеток у стрипі з маркуванням українською мовою; по 5 стрипів у картонній упаковці з маркуванням українською та англійською мовами</t>
  </si>
  <si>
    <t>Теріз (теризидон), капсули по 250 мг по 10 капсул у стрипі з маркуванням українською мовою; по 10 стрипів у картонній упаковці з маркуванням українською та англійською</t>
  </si>
  <si>
    <t>Лінезолф, таблетки, вкриті плівкою оболонкою, по 600 мг, по 10 таблеток у блістері</t>
  </si>
  <si>
    <t>Етамбутол таблетки, вкриті оболонкою, по 400 мг, по 1000 таблеток у банці пластиковій</t>
  </si>
  <si>
    <t>Коксерин, капсули по 250 мг №100 (10х10); по 10 капсул у стрипі з  маркуванням українською мовою; по 10 стрипів у картонній упаковці з маркуванням українською та англійською мовами</t>
  </si>
  <si>
    <t>Макрозид (піразинамід) 500, таблетки по 500 мг, по 10 таблеток у блістері; по 10 блістерів у картонній упаковці з маркуванням українською мовою</t>
  </si>
  <si>
    <t>ПАС натрію гранули 60%, гранули кишковорозчинні, 600 мг/г по 100 г гранул в саше; по 1 саше разом з мірною ложкою у флаконі, маркування українською мовою</t>
  </si>
  <si>
    <t>Ідентифікаційний тест для ідентифікації мікобактерій туберкульозного комплексу  BD MGIT™ TBc/ BD MGIT™TBc Identification Test, (25 тестів), кат. номер 245159</t>
  </si>
  <si>
    <t>Канаміцин, порошок для розчину для інєкцій по1,0 г у флакони з порошком з маркуванням українською мовою</t>
  </si>
  <si>
    <t>Екокс 400 (етамбутол), таблетки вкриті оболонкою, 400 мг по 10 таблеток у блістері з маркуванням українською мовою, по 10 блістерів у картонній упаковці з маркування українською та англійською мовами</t>
  </si>
  <si>
    <t>Макрозид 500 (піразинамід), таблетки по 500 мг, по 10 таблеток у блістері; по 10 блістерів у картонній упаковці з маркуванням українською мовою</t>
  </si>
  <si>
    <t>Натрію аміносаліцилат гранули кишковорозчинні, 0,8 г/1г по 100 г у пакеті №1 разом із дозуючим пристроєм у контейнері</t>
  </si>
  <si>
    <t>Циклоксерин капсули тверді по 250 мг №30 (10х3) у блістерах</t>
  </si>
  <si>
    <t>Етамбутол таблетки по 400 мг №50 (10х5) у блістерах у пачці</t>
  </si>
  <si>
    <t>Авелокс, таблетки, вкриті оболонкою, по 400 мг. по 5 таблеток у блистері, по 1 блістеру в картонній коробці</t>
  </si>
  <si>
    <t>Лінезід, розчин для інфузій, 600 мг/300 мл по 300 мл у флаконі; по 1 флакону у пакеті з алюмінієвої фольги в картонній упаковці</t>
  </si>
  <si>
    <t>Авелокс, розчин для інфузій, 400 мг/250 мл по 250 мл розчину у флаконах; по 1 флакону в картонній пачцці</t>
  </si>
  <si>
    <t>Левофлоксацин-Здоров'я, таблетки вкриті оболонкою, по 500 мг №10</t>
  </si>
  <si>
    <t>Ізоніазид, сироп 100 мг/5мл, по 200 мл у флаконі; по 1 флакону в пачці з картону</t>
  </si>
  <si>
    <t>Лефлоцин, розчин для інфузій, 5мг/мл, по 100 мл у пляшці; по 1 пляшці в пачці</t>
  </si>
  <si>
    <t>Ремедія (левофлоксацин), таблетки, вкриті оболонкою, по 250 мг по 10 таблеток у блістері; по 1 блістеру в картонній коробці</t>
  </si>
  <si>
    <t>Лінезолф таблетки, вкриті плівкою оболонкою, по 600 мг, по 10 таблеток у стрипі</t>
  </si>
  <si>
    <t>ПАСКОНАТ, розчин для інфузій, 30 мг/мл по 400 мл у пляшці</t>
  </si>
  <si>
    <t>Ізоніазид таблетки по 100 мг №100 (10х10), у блістерах</t>
  </si>
  <si>
    <t>Капоцин порошок для розчину для ін'єкцій по 1000мг флаконах №1</t>
  </si>
  <si>
    <t>Авелокс, таблетки, вкриті оболонкою, по 400 мг №5 (5х1) у блістерах</t>
  </si>
  <si>
    <t>Канамак-1000 порошок для розчину для ін'єкцій по 1000 мг у флаконах №1</t>
  </si>
  <si>
    <t>Рифампіцин 150 мг/ ізоніазид 75 мг таблетки по 150 мг/75 мг по 28 таблеток у блістері, по 24 блістери у картонній коробці</t>
  </si>
  <si>
    <t>Рифампіцин 150 мг/ ізоніазид 75 мг / піразинамід 400 мг / етамбутолу гідрохлорид 275 мг таблетки, вкриті плівкою оболонкою, по 150 мг / 75 мг/ 400 мг/ 275 мг по 28 таблеток у блістері; по 24 блістери у картонній коробці</t>
  </si>
  <si>
    <t>BD BBL "MGIT" Ідик. проб., Becton, Dsckinson and Company, USA 245122</t>
  </si>
  <si>
    <t>BD BBL "MGIT" Набір добавок., Becton, Dsckinson and Company, USA 245124</t>
  </si>
  <si>
    <t>BD BBL ™MycoPrep Kit™, 10x150 ml/ Набір для розрідження та деконтамінації мікобактеріальних зразків BD ББЛ МикоПреп, 10х150 ml (100 тестів), кат.ном. 240863</t>
  </si>
  <si>
    <t xml:space="preserve"> BD BBL ™MGIT™ Mycobacteria Growth Indicator Tubes/ Індикаторна пробірка  BD BBL ™MGIT™ Mycobacteria Growth Indicator Tubes (100 тестів), кат.ном 245122</t>
  </si>
  <si>
    <t xml:space="preserve"> BD BACTEC ™MGIT™ 960 Sire Kit/Набір для тестування чутливості Mycobacterium tuberculosis до антимікобактеріальних препаратів  BD BACTEC ™MGIT™ 960 Sire Kit (40 тестів), кат.ном.245123</t>
  </si>
  <si>
    <t xml:space="preserve"> BD BACTEC ™MGIT™ 960 PZA Kit/Набір для тестування чутливості Mycobacterium tuberculosis до антимікобактеріальних препаратів  BD BACTEC ™MGIT™ 960 PZA Kit (50 тестів), кат.ном.245128</t>
  </si>
  <si>
    <t xml:space="preserve"> BD BACTEC ™MGIT™ 960 PZA Susceptibility Test Medium/ Тест Medium для тестування чутливості Mycobacterium tuberculosis до антимікобактеріальних препаратів  BD BACTEC ™MGIT™ 960 PZA  Susceptibility Test Medium(12,5 тестів), кат.ном.245115</t>
  </si>
  <si>
    <t>Збагачувальна добавка OADCBD BBL MGIT (20 тестів) кат. Ном 245116 с.7095604 т/п 27.09.2018 р. виробник Becton, Dickinson and Company, USA</t>
  </si>
  <si>
    <t>Індикаторна пробірка BD BBL MGIT Mycobacteria Growth Indicator Tubes (100 тестів), кат.ном 245122 с:7121821 т/п 01.11.2018 р. виробник Becton, Dickinson and Company, USA</t>
  </si>
  <si>
    <t>Теріз капсули по 250 мг №100 (10х10) у стрипах</t>
  </si>
  <si>
    <t>Клофазимін (лапрен) капсули м'які по 100 мг №100 у флаконі у коробці з картону</t>
  </si>
  <si>
    <t>Протомід, таблетки вкриті оболонкою, по 250 мг №50 (10х5) у стрипах</t>
  </si>
  <si>
    <t>Бітуб, розчин для інєкцій, 100 мг/мл, по 5 мл в ампулі</t>
  </si>
  <si>
    <r>
      <t xml:space="preserve">про використання матеріальних цінностей, отриманих шляхом централізованого постачання за рахунок коштів Державного бюджету України у 2018 році за станом на </t>
    </r>
    <r>
      <rPr>
        <b/>
        <u/>
        <sz val="11"/>
        <color theme="1"/>
        <rFont val="Times New Roman"/>
        <family val="1"/>
        <charset val="204"/>
      </rPr>
      <t xml:space="preserve">13 липня  2018 </t>
    </r>
    <r>
      <rPr>
        <b/>
        <sz val="11"/>
        <color theme="1"/>
        <rFont val="Times New Roman"/>
        <family val="1"/>
        <charset val="204"/>
      </rPr>
      <t xml:space="preserve">року за державною програмою по лікувально - профілактичному закладу </t>
    </r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</si>
</sst>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0.000"/>
    <numFmt numFmtId="166" formatCode="0.0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" fontId="8" fillId="0" borderId="1" xfId="0" applyNumberFormat="1" applyFont="1" applyBorder="1"/>
    <xf numFmtId="2" fontId="8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9" fillId="0" borderId="4" xfId="0" applyFont="1" applyBorder="1"/>
    <xf numFmtId="1" fontId="0" fillId="0" borderId="0" xfId="0" applyNumberFormat="1"/>
    <xf numFmtId="2" fontId="0" fillId="0" borderId="0" xfId="0" applyNumberFormat="1"/>
    <xf numFmtId="165" fontId="8" fillId="0" borderId="1" xfId="0" applyNumberFormat="1" applyFont="1" applyBorder="1"/>
    <xf numFmtId="165" fontId="0" fillId="0" borderId="0" xfId="0" applyNumberFormat="1"/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166" fontId="2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Border="1"/>
    <xf numFmtId="166" fontId="0" fillId="0" borderId="0" xfId="0" applyNumberFormat="1"/>
    <xf numFmtId="166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6"/>
  <sheetViews>
    <sheetView tabSelected="1" zoomScale="80" zoomScaleNormal="80" workbookViewId="0">
      <selection activeCell="C6" sqref="C6:C7"/>
    </sheetView>
  </sheetViews>
  <sheetFormatPr defaultRowHeight="15"/>
  <cols>
    <col min="1" max="1" width="12.5703125" customWidth="1"/>
    <col min="3" max="3" width="93.85546875" customWidth="1"/>
    <col min="6" max="6" width="10.5703125" customWidth="1"/>
    <col min="7" max="7" width="12.85546875" customWidth="1"/>
    <col min="8" max="8" width="11.42578125" bestFit="1" customWidth="1"/>
    <col min="9" max="9" width="12.140625" customWidth="1"/>
    <col min="10" max="10" width="12.28515625" customWidth="1"/>
    <col min="11" max="11" width="12.140625" customWidth="1"/>
    <col min="12" max="12" width="12.7109375" bestFit="1" customWidth="1"/>
    <col min="13" max="13" width="13.42578125" customWidth="1"/>
    <col min="14" max="14" width="12.42578125" bestFit="1" customWidth="1"/>
    <col min="15" max="15" width="11.5703125" bestFit="1" customWidth="1"/>
  </cols>
  <sheetData>
    <row r="1" spans="1:13">
      <c r="K1" s="39" t="s">
        <v>13</v>
      </c>
      <c r="L1" s="39"/>
      <c r="M1" s="39"/>
    </row>
    <row r="2" spans="1:13">
      <c r="A2" s="41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55.5" customHeight="1">
      <c r="A3" s="40" t="s">
        <v>88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4.25" customHeight="1">
      <c r="A4" s="36" t="s">
        <v>28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12" customHeight="1">
      <c r="A5" s="37" t="s">
        <v>29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71.25" customHeight="1">
      <c r="A6" s="35" t="s">
        <v>30</v>
      </c>
      <c r="B6" s="35" t="s">
        <v>2</v>
      </c>
      <c r="C6" s="35" t="s">
        <v>0</v>
      </c>
      <c r="D6" s="35" t="s">
        <v>3</v>
      </c>
      <c r="E6" s="35"/>
      <c r="F6" s="35" t="s">
        <v>6</v>
      </c>
      <c r="G6" s="35"/>
      <c r="H6" s="35" t="s">
        <v>9</v>
      </c>
      <c r="I6" s="35"/>
      <c r="J6" s="35" t="s">
        <v>10</v>
      </c>
      <c r="K6" s="35"/>
      <c r="L6" s="35" t="s">
        <v>11</v>
      </c>
      <c r="M6" s="35"/>
    </row>
    <row r="7" spans="1:13">
      <c r="A7" s="35"/>
      <c r="B7" s="35"/>
      <c r="C7" s="35"/>
      <c r="D7" s="1" t="s">
        <v>4</v>
      </c>
      <c r="E7" s="1" t="s">
        <v>5</v>
      </c>
      <c r="F7" s="1" t="s">
        <v>7</v>
      </c>
      <c r="G7" s="1" t="s">
        <v>8</v>
      </c>
      <c r="H7" s="1" t="s">
        <v>7</v>
      </c>
      <c r="I7" s="1" t="s">
        <v>8</v>
      </c>
      <c r="J7" s="1" t="s">
        <v>7</v>
      </c>
      <c r="K7" s="1" t="s">
        <v>8</v>
      </c>
      <c r="L7" s="1" t="s">
        <v>7</v>
      </c>
      <c r="M7" s="1" t="s">
        <v>8</v>
      </c>
    </row>
    <row r="8" spans="1:13" s="3" customFormat="1" ht="12.7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3" ht="31.5">
      <c r="A9" s="5" t="s">
        <v>14</v>
      </c>
      <c r="B9" s="24">
        <v>2301400</v>
      </c>
      <c r="C9" s="6" t="s">
        <v>17</v>
      </c>
      <c r="D9" s="7">
        <v>41999</v>
      </c>
      <c r="E9" s="8">
        <v>1013</v>
      </c>
      <c r="F9" s="22">
        <v>6540</v>
      </c>
      <c r="G9" s="23">
        <v>146996.94</v>
      </c>
      <c r="H9" s="22"/>
      <c r="I9" s="23"/>
      <c r="J9" s="22">
        <f>312+405+280+345+455+412</f>
        <v>2209</v>
      </c>
      <c r="K9" s="23">
        <f>7012.7+9103.02+6293.45+7754.43+10226.85+9260.36</f>
        <v>49650.810000000005</v>
      </c>
      <c r="L9" s="25">
        <f t="shared" ref="L9:L76" si="0">F9+H9-J9</f>
        <v>4331</v>
      </c>
      <c r="M9" s="26">
        <f t="shared" ref="M9:M76" si="1">G9+I9-K9</f>
        <v>97346.13</v>
      </c>
    </row>
    <row r="10" spans="1:13" ht="31.5">
      <c r="A10" s="5"/>
      <c r="B10" s="24"/>
      <c r="C10" s="6" t="s">
        <v>60</v>
      </c>
      <c r="D10" s="7">
        <v>42950</v>
      </c>
      <c r="E10" s="8">
        <v>895</v>
      </c>
      <c r="F10" s="22">
        <v>3365</v>
      </c>
      <c r="G10" s="23">
        <v>89374.399999999994</v>
      </c>
      <c r="H10" s="22"/>
      <c r="I10" s="23"/>
      <c r="J10" s="22">
        <f>0</f>
        <v>0</v>
      </c>
      <c r="K10" s="23">
        <f>0</f>
        <v>0</v>
      </c>
      <c r="L10" s="25">
        <f t="shared" si="0"/>
        <v>3365</v>
      </c>
      <c r="M10" s="26">
        <f t="shared" si="1"/>
        <v>89374.399999999994</v>
      </c>
    </row>
    <row r="11" spans="1:13" ht="15.75">
      <c r="A11" s="5"/>
      <c r="B11" s="24"/>
      <c r="C11" s="6" t="s">
        <v>71</v>
      </c>
      <c r="D11" s="7">
        <v>43041</v>
      </c>
      <c r="E11" s="8">
        <v>1356</v>
      </c>
      <c r="F11" s="22">
        <v>1490</v>
      </c>
      <c r="G11" s="23">
        <v>39586.32</v>
      </c>
      <c r="H11" s="22"/>
      <c r="I11" s="23"/>
      <c r="J11" s="22">
        <f>0</f>
        <v>0</v>
      </c>
      <c r="K11" s="23">
        <f>0</f>
        <v>0</v>
      </c>
      <c r="L11" s="25">
        <f t="shared" si="0"/>
        <v>1490</v>
      </c>
      <c r="M11" s="26">
        <f t="shared" si="1"/>
        <v>39586.32</v>
      </c>
    </row>
    <row r="12" spans="1:13" ht="31.5">
      <c r="A12" s="5"/>
      <c r="B12" s="24"/>
      <c r="C12" s="6" t="s">
        <v>62</v>
      </c>
      <c r="D12" s="7">
        <v>42941</v>
      </c>
      <c r="E12" s="8">
        <v>845</v>
      </c>
      <c r="F12" s="22">
        <v>22</v>
      </c>
      <c r="G12" s="23">
        <v>12901.68</v>
      </c>
      <c r="H12" s="22"/>
      <c r="I12" s="23"/>
      <c r="J12" s="22">
        <f>22</f>
        <v>22</v>
      </c>
      <c r="K12" s="23">
        <f>12901.68</f>
        <v>12901.68</v>
      </c>
      <c r="L12" s="25">
        <f t="shared" si="0"/>
        <v>0</v>
      </c>
      <c r="M12" s="26">
        <f t="shared" si="1"/>
        <v>0</v>
      </c>
    </row>
    <row r="13" spans="1:13" ht="31.5">
      <c r="A13" s="5"/>
      <c r="B13" s="24"/>
      <c r="C13" s="6" t="s">
        <v>62</v>
      </c>
      <c r="D13" s="7">
        <v>43041</v>
      </c>
      <c r="E13" s="8">
        <v>1356</v>
      </c>
      <c r="F13" s="22">
        <v>26</v>
      </c>
      <c r="G13" s="23">
        <v>15249</v>
      </c>
      <c r="H13" s="22"/>
      <c r="I13" s="23"/>
      <c r="J13" s="22">
        <f>2+24</f>
        <v>26</v>
      </c>
      <c r="K13" s="23">
        <f>1173+14076</f>
        <v>15249</v>
      </c>
      <c r="L13" s="25">
        <f t="shared" si="0"/>
        <v>0</v>
      </c>
      <c r="M13" s="26">
        <f t="shared" si="1"/>
        <v>0</v>
      </c>
    </row>
    <row r="14" spans="1:13" ht="15.75">
      <c r="A14" s="5"/>
      <c r="B14" s="24"/>
      <c r="C14" s="6" t="s">
        <v>87</v>
      </c>
      <c r="D14" s="7">
        <v>43225</v>
      </c>
      <c r="E14" s="8">
        <v>853</v>
      </c>
      <c r="F14" s="22">
        <v>0</v>
      </c>
      <c r="G14" s="23">
        <v>0</v>
      </c>
      <c r="H14" s="22">
        <v>660</v>
      </c>
      <c r="I14" s="23">
        <v>1489.62</v>
      </c>
      <c r="J14" s="22">
        <f>70</f>
        <v>70</v>
      </c>
      <c r="K14" s="23">
        <f>157.99</f>
        <v>157.99</v>
      </c>
      <c r="L14" s="25">
        <f t="shared" si="0"/>
        <v>590</v>
      </c>
      <c r="M14" s="26">
        <f t="shared" si="1"/>
        <v>1331.6299999999999</v>
      </c>
    </row>
    <row r="15" spans="1:13" ht="15.75">
      <c r="A15" s="5"/>
      <c r="B15" s="24"/>
      <c r="C15" s="6" t="s">
        <v>87</v>
      </c>
      <c r="D15" s="7">
        <v>43225</v>
      </c>
      <c r="E15" s="8">
        <v>853</v>
      </c>
      <c r="F15" s="22">
        <v>0</v>
      </c>
      <c r="G15" s="23">
        <v>0</v>
      </c>
      <c r="H15" s="22">
        <v>710</v>
      </c>
      <c r="I15" s="23">
        <v>1602.47</v>
      </c>
      <c r="J15" s="22">
        <f>0</f>
        <v>0</v>
      </c>
      <c r="K15" s="23">
        <f>0</f>
        <v>0</v>
      </c>
      <c r="L15" s="25">
        <f t="shared" si="0"/>
        <v>710</v>
      </c>
      <c r="M15" s="26">
        <f t="shared" si="1"/>
        <v>1602.47</v>
      </c>
    </row>
    <row r="16" spans="1:13" ht="15.75">
      <c r="A16" s="5"/>
      <c r="B16" s="24"/>
      <c r="C16" s="6" t="s">
        <v>69</v>
      </c>
      <c r="D16" s="7">
        <v>43014</v>
      </c>
      <c r="E16" s="8">
        <v>1227</v>
      </c>
      <c r="F16" s="22">
        <v>264500</v>
      </c>
      <c r="G16" s="23">
        <v>61205.3</v>
      </c>
      <c r="H16" s="22"/>
      <c r="I16" s="23"/>
      <c r="J16" s="22">
        <f>0</f>
        <v>0</v>
      </c>
      <c r="K16" s="23">
        <f>0</f>
        <v>0</v>
      </c>
      <c r="L16" s="25">
        <f t="shared" ref="L16:M19" si="2">F16+H16-J16</f>
        <v>264500</v>
      </c>
      <c r="M16" s="26">
        <f t="shared" si="2"/>
        <v>61205.3</v>
      </c>
    </row>
    <row r="17" spans="1:14" ht="15.75">
      <c r="A17" s="5"/>
      <c r="B17" s="24"/>
      <c r="C17" s="6" t="s">
        <v>69</v>
      </c>
      <c r="D17" s="7">
        <v>43091</v>
      </c>
      <c r="E17" s="8">
        <v>1732</v>
      </c>
      <c r="F17" s="22">
        <v>0</v>
      </c>
      <c r="G17" s="23">
        <v>0</v>
      </c>
      <c r="H17" s="22">
        <v>483900</v>
      </c>
      <c r="I17" s="23">
        <v>111974.46</v>
      </c>
      <c r="J17" s="22">
        <f>0</f>
        <v>0</v>
      </c>
      <c r="K17" s="23">
        <f>0</f>
        <v>0</v>
      </c>
      <c r="L17" s="25">
        <f t="shared" si="2"/>
        <v>483900</v>
      </c>
      <c r="M17" s="26">
        <f t="shared" si="2"/>
        <v>111974.46</v>
      </c>
    </row>
    <row r="18" spans="1:14" ht="15.75">
      <c r="A18" s="5"/>
      <c r="B18" s="24"/>
      <c r="C18" s="6" t="s">
        <v>69</v>
      </c>
      <c r="D18" s="7">
        <v>43111</v>
      </c>
      <c r="E18" s="8">
        <v>56</v>
      </c>
      <c r="F18" s="22">
        <v>0</v>
      </c>
      <c r="G18" s="23">
        <v>0</v>
      </c>
      <c r="H18" s="22">
        <v>701000</v>
      </c>
      <c r="I18" s="23">
        <v>162211.4</v>
      </c>
      <c r="J18" s="22">
        <f>0</f>
        <v>0</v>
      </c>
      <c r="K18" s="23">
        <f>0</f>
        <v>0</v>
      </c>
      <c r="L18" s="25">
        <f t="shared" si="2"/>
        <v>701000</v>
      </c>
      <c r="M18" s="26">
        <f t="shared" si="2"/>
        <v>162211.4</v>
      </c>
    </row>
    <row r="19" spans="1:14" ht="15.75">
      <c r="A19" s="5"/>
      <c r="B19" s="24"/>
      <c r="C19" s="6" t="s">
        <v>69</v>
      </c>
      <c r="D19" s="7">
        <v>43138</v>
      </c>
      <c r="E19" s="8">
        <v>187</v>
      </c>
      <c r="F19" s="22">
        <v>0</v>
      </c>
      <c r="G19" s="23">
        <v>0</v>
      </c>
      <c r="H19" s="22">
        <v>265600</v>
      </c>
      <c r="I19" s="23">
        <v>61459.839999999997</v>
      </c>
      <c r="J19" s="22">
        <f>0</f>
        <v>0</v>
      </c>
      <c r="K19" s="23">
        <f>0</f>
        <v>0</v>
      </c>
      <c r="L19" s="25">
        <f t="shared" si="2"/>
        <v>265600</v>
      </c>
      <c r="M19" s="26">
        <f t="shared" si="2"/>
        <v>61459.839999999997</v>
      </c>
    </row>
    <row r="20" spans="1:14" ht="19.5" customHeight="1">
      <c r="A20" s="5"/>
      <c r="B20" s="24"/>
      <c r="C20" s="6" t="s">
        <v>64</v>
      </c>
      <c r="D20" s="7">
        <v>42975</v>
      </c>
      <c r="E20" s="8">
        <v>973</v>
      </c>
      <c r="F20" s="22">
        <v>1010</v>
      </c>
      <c r="G20" s="23">
        <v>88698.2</v>
      </c>
      <c r="H20" s="22"/>
      <c r="I20" s="23"/>
      <c r="J20" s="22">
        <f>51+38+30+37+33+47</f>
        <v>236</v>
      </c>
      <c r="K20" s="23">
        <f>4478.82+3337.16+2634.6+3249.34+2898.06+4127.54</f>
        <v>20725.52</v>
      </c>
      <c r="L20" s="25">
        <f t="shared" si="0"/>
        <v>774</v>
      </c>
      <c r="M20" s="26">
        <f t="shared" si="1"/>
        <v>67972.679999999993</v>
      </c>
    </row>
    <row r="21" spans="1:14" ht="21" customHeight="1">
      <c r="A21" s="5"/>
      <c r="B21" s="24"/>
      <c r="C21" s="6" t="s">
        <v>64</v>
      </c>
      <c r="D21" s="7">
        <v>43000</v>
      </c>
      <c r="E21" s="8">
        <v>1143</v>
      </c>
      <c r="F21" s="22">
        <v>998</v>
      </c>
      <c r="G21" s="23">
        <v>87644.36</v>
      </c>
      <c r="H21" s="22"/>
      <c r="I21" s="23"/>
      <c r="J21" s="22">
        <f>0</f>
        <v>0</v>
      </c>
      <c r="K21" s="23">
        <f>0</f>
        <v>0</v>
      </c>
      <c r="L21" s="25">
        <f t="shared" si="0"/>
        <v>998</v>
      </c>
      <c r="M21" s="26">
        <f t="shared" si="1"/>
        <v>87644.36</v>
      </c>
    </row>
    <row r="22" spans="1:14" ht="18.75" customHeight="1">
      <c r="A22" s="5"/>
      <c r="B22" s="24"/>
      <c r="C22" s="6" t="s">
        <v>20</v>
      </c>
      <c r="D22" s="7">
        <v>41999</v>
      </c>
      <c r="E22" s="8">
        <v>1012</v>
      </c>
      <c r="F22" s="22">
        <v>12</v>
      </c>
      <c r="G22" s="23">
        <v>94.32</v>
      </c>
      <c r="H22" s="22"/>
      <c r="I22" s="23"/>
      <c r="J22" s="22">
        <f>3+9</f>
        <v>12</v>
      </c>
      <c r="K22" s="23">
        <f>23.58+70.74</f>
        <v>94.32</v>
      </c>
      <c r="L22" s="25">
        <f t="shared" si="0"/>
        <v>0</v>
      </c>
      <c r="M22" s="26">
        <f t="shared" si="1"/>
        <v>0</v>
      </c>
      <c r="N22" s="18"/>
    </row>
    <row r="23" spans="1:14" ht="18.75" customHeight="1">
      <c r="A23" s="5"/>
      <c r="B23" s="24"/>
      <c r="C23" s="9" t="s">
        <v>72</v>
      </c>
      <c r="D23" s="7">
        <v>43060</v>
      </c>
      <c r="E23" s="8">
        <v>1461</v>
      </c>
      <c r="F23" s="22">
        <v>1800</v>
      </c>
      <c r="G23" s="23">
        <v>16974</v>
      </c>
      <c r="H23" s="22"/>
      <c r="I23" s="23"/>
      <c r="J23" s="22">
        <f>0</f>
        <v>0</v>
      </c>
      <c r="K23" s="23">
        <f>0</f>
        <v>0</v>
      </c>
      <c r="L23" s="25">
        <f t="shared" si="0"/>
        <v>1800</v>
      </c>
      <c r="M23" s="26">
        <f t="shared" si="1"/>
        <v>16974</v>
      </c>
      <c r="N23" s="18"/>
    </row>
    <row r="24" spans="1:14" ht="18.75" customHeight="1">
      <c r="A24" s="5"/>
      <c r="B24" s="24"/>
      <c r="C24" s="9" t="s">
        <v>72</v>
      </c>
      <c r="D24" s="7">
        <v>43111</v>
      </c>
      <c r="E24" s="8">
        <v>56</v>
      </c>
      <c r="F24" s="22">
        <v>0</v>
      </c>
      <c r="G24" s="23">
        <v>0</v>
      </c>
      <c r="H24" s="22">
        <v>1229</v>
      </c>
      <c r="I24" s="23">
        <v>11589.47</v>
      </c>
      <c r="J24" s="22">
        <f>0</f>
        <v>0</v>
      </c>
      <c r="K24" s="23">
        <f>0</f>
        <v>0</v>
      </c>
      <c r="L24" s="25">
        <f t="shared" si="0"/>
        <v>1229</v>
      </c>
      <c r="M24" s="26">
        <f t="shared" si="1"/>
        <v>11589.47</v>
      </c>
      <c r="N24" s="18"/>
    </row>
    <row r="25" spans="1:14" ht="16.5" customHeight="1">
      <c r="A25" s="5"/>
      <c r="B25" s="24"/>
      <c r="C25" s="9" t="s">
        <v>72</v>
      </c>
      <c r="D25" s="7">
        <v>43174</v>
      </c>
      <c r="E25" s="8">
        <v>492</v>
      </c>
      <c r="F25" s="22">
        <v>0</v>
      </c>
      <c r="G25" s="23">
        <v>0</v>
      </c>
      <c r="H25" s="22">
        <v>6565</v>
      </c>
      <c r="I25" s="23">
        <v>61907.95</v>
      </c>
      <c r="J25" s="22">
        <f>0</f>
        <v>0</v>
      </c>
      <c r="K25" s="23">
        <f>0</f>
        <v>0</v>
      </c>
      <c r="L25" s="25">
        <f t="shared" si="0"/>
        <v>6565</v>
      </c>
      <c r="M25" s="26">
        <f t="shared" si="1"/>
        <v>61907.95</v>
      </c>
      <c r="N25" s="18"/>
    </row>
    <row r="26" spans="1:14" ht="18.75" customHeight="1">
      <c r="A26" s="5"/>
      <c r="B26" s="24"/>
      <c r="C26" s="9" t="s">
        <v>72</v>
      </c>
      <c r="D26" s="7">
        <v>43225</v>
      </c>
      <c r="E26" s="8">
        <v>853</v>
      </c>
      <c r="F26" s="22">
        <v>0</v>
      </c>
      <c r="G26" s="23">
        <v>0</v>
      </c>
      <c r="H26" s="22">
        <v>5021</v>
      </c>
      <c r="I26" s="23">
        <v>47348.03</v>
      </c>
      <c r="J26" s="22">
        <f>0</f>
        <v>0</v>
      </c>
      <c r="K26" s="23">
        <f>0</f>
        <v>0</v>
      </c>
      <c r="L26" s="25">
        <f t="shared" si="0"/>
        <v>5021</v>
      </c>
      <c r="M26" s="26">
        <f t="shared" si="1"/>
        <v>47348.03</v>
      </c>
      <c r="N26" s="18"/>
    </row>
    <row r="27" spans="1:14" ht="18.75" customHeight="1">
      <c r="A27" s="5"/>
      <c r="B27" s="24"/>
      <c r="C27" s="9" t="s">
        <v>72</v>
      </c>
      <c r="D27" s="7">
        <v>43227</v>
      </c>
      <c r="E27" s="8">
        <v>858</v>
      </c>
      <c r="F27" s="22">
        <v>0</v>
      </c>
      <c r="G27" s="23">
        <v>0</v>
      </c>
      <c r="H27" s="22">
        <v>3569</v>
      </c>
      <c r="I27" s="23">
        <v>33655.67</v>
      </c>
      <c r="J27" s="22">
        <f>0</f>
        <v>0</v>
      </c>
      <c r="K27" s="23">
        <f>0</f>
        <v>0</v>
      </c>
      <c r="L27" s="25">
        <f t="shared" si="0"/>
        <v>3569</v>
      </c>
      <c r="M27" s="26">
        <f t="shared" si="1"/>
        <v>33655.67</v>
      </c>
      <c r="N27" s="18"/>
    </row>
    <row r="28" spans="1:14" ht="18.75" customHeight="1">
      <c r="A28" s="5"/>
      <c r="B28" s="24"/>
      <c r="C28" s="9" t="s">
        <v>72</v>
      </c>
      <c r="D28" s="7">
        <v>43238</v>
      </c>
      <c r="E28" s="8">
        <v>964</v>
      </c>
      <c r="F28" s="22">
        <v>0</v>
      </c>
      <c r="G28" s="23">
        <v>0</v>
      </c>
      <c r="H28" s="22">
        <v>1919</v>
      </c>
      <c r="I28" s="23">
        <v>18096.169999999998</v>
      </c>
      <c r="J28" s="22">
        <f>0</f>
        <v>0</v>
      </c>
      <c r="K28" s="23">
        <f>0</f>
        <v>0</v>
      </c>
      <c r="L28" s="25">
        <f t="shared" si="0"/>
        <v>1919</v>
      </c>
      <c r="M28" s="26">
        <f t="shared" si="1"/>
        <v>18096.169999999998</v>
      </c>
      <c r="N28" s="18"/>
    </row>
    <row r="29" spans="1:14" ht="17.25" customHeight="1">
      <c r="A29" s="5"/>
      <c r="B29" s="24"/>
      <c r="C29" s="9" t="s">
        <v>70</v>
      </c>
      <c r="D29" s="7">
        <v>43014</v>
      </c>
      <c r="E29" s="8">
        <v>1227</v>
      </c>
      <c r="F29" s="22">
        <v>1249</v>
      </c>
      <c r="G29" s="23">
        <v>76001.649999999994</v>
      </c>
      <c r="H29" s="22"/>
      <c r="I29" s="23"/>
      <c r="J29" s="22">
        <f>494+437+228+38+17+35</f>
        <v>1249</v>
      </c>
      <c r="K29" s="23">
        <f>30059.9+26591.45+13873.8+2312.3+1034.45+2129.75</f>
        <v>76001.650000000009</v>
      </c>
      <c r="L29" s="25">
        <f t="shared" si="0"/>
        <v>0</v>
      </c>
      <c r="M29" s="26">
        <f t="shared" si="1"/>
        <v>0</v>
      </c>
    </row>
    <row r="30" spans="1:14" ht="18.75" customHeight="1">
      <c r="A30" s="5"/>
      <c r="B30" s="24"/>
      <c r="C30" s="9" t="s">
        <v>70</v>
      </c>
      <c r="D30" s="7">
        <v>43060</v>
      </c>
      <c r="E30" s="8">
        <v>1461</v>
      </c>
      <c r="F30" s="22">
        <v>916</v>
      </c>
      <c r="G30" s="23">
        <v>55738.6</v>
      </c>
      <c r="H30" s="22"/>
      <c r="I30" s="23"/>
      <c r="J30" s="22">
        <f>0</f>
        <v>0</v>
      </c>
      <c r="K30" s="23">
        <f>0</f>
        <v>0</v>
      </c>
      <c r="L30" s="25">
        <f t="shared" si="0"/>
        <v>916</v>
      </c>
      <c r="M30" s="26">
        <f t="shared" si="1"/>
        <v>55738.6</v>
      </c>
    </row>
    <row r="31" spans="1:14" ht="18.75" customHeight="1">
      <c r="A31" s="5"/>
      <c r="B31" s="24"/>
      <c r="C31" s="9" t="s">
        <v>70</v>
      </c>
      <c r="D31" s="7">
        <v>43068</v>
      </c>
      <c r="E31" s="8">
        <v>1493</v>
      </c>
      <c r="F31" s="22">
        <v>1270</v>
      </c>
      <c r="G31" s="23">
        <v>77279.5</v>
      </c>
      <c r="H31" s="22"/>
      <c r="I31" s="23"/>
      <c r="J31" s="22">
        <f>82+248+175+269</f>
        <v>774</v>
      </c>
      <c r="K31" s="23">
        <f>4989.7+15090.8+10648.75+16368.65</f>
        <v>47097.9</v>
      </c>
      <c r="L31" s="25">
        <f t="shared" si="0"/>
        <v>496</v>
      </c>
      <c r="M31" s="26">
        <f t="shared" si="1"/>
        <v>30181.599999999999</v>
      </c>
    </row>
    <row r="32" spans="1:14" ht="18.75" customHeight="1">
      <c r="A32" s="5"/>
      <c r="B32" s="24"/>
      <c r="C32" s="9" t="s">
        <v>70</v>
      </c>
      <c r="D32" s="7">
        <v>43091</v>
      </c>
      <c r="E32" s="8">
        <v>1732</v>
      </c>
      <c r="F32" s="22">
        <v>0</v>
      </c>
      <c r="G32" s="23">
        <v>0</v>
      </c>
      <c r="H32" s="22">
        <v>932</v>
      </c>
      <c r="I32" s="23">
        <v>56712.2</v>
      </c>
      <c r="J32" s="22">
        <f>0</f>
        <v>0</v>
      </c>
      <c r="K32" s="23">
        <f>0</f>
        <v>0</v>
      </c>
      <c r="L32" s="25">
        <f>F32+H32-J32</f>
        <v>932</v>
      </c>
      <c r="M32" s="26">
        <f t="shared" si="1"/>
        <v>56712.2</v>
      </c>
    </row>
    <row r="33" spans="1:14" ht="18.75" customHeight="1">
      <c r="A33" s="5"/>
      <c r="B33" s="24"/>
      <c r="C33" s="9" t="s">
        <v>70</v>
      </c>
      <c r="D33" s="7">
        <v>43209</v>
      </c>
      <c r="E33" s="8">
        <v>759</v>
      </c>
      <c r="F33" s="22">
        <v>0</v>
      </c>
      <c r="G33" s="23">
        <v>0</v>
      </c>
      <c r="H33" s="22">
        <v>1828</v>
      </c>
      <c r="I33" s="23">
        <v>111233.8</v>
      </c>
      <c r="J33" s="22">
        <f>0</f>
        <v>0</v>
      </c>
      <c r="K33" s="23">
        <f>0</f>
        <v>0</v>
      </c>
      <c r="L33" s="25">
        <f>F33+H33-J33</f>
        <v>1828</v>
      </c>
      <c r="M33" s="26">
        <f t="shared" si="1"/>
        <v>111233.8</v>
      </c>
    </row>
    <row r="34" spans="1:14" ht="18.75" customHeight="1">
      <c r="A34" s="5"/>
      <c r="B34" s="24"/>
      <c r="C34" s="9" t="s">
        <v>70</v>
      </c>
      <c r="D34" s="7">
        <v>43225</v>
      </c>
      <c r="E34" s="8">
        <v>853</v>
      </c>
      <c r="F34" s="22">
        <v>0</v>
      </c>
      <c r="G34" s="23">
        <v>0</v>
      </c>
      <c r="H34" s="22">
        <v>457</v>
      </c>
      <c r="I34" s="23">
        <v>27808.45</v>
      </c>
      <c r="J34" s="22">
        <f>0</f>
        <v>0</v>
      </c>
      <c r="K34" s="23">
        <f>0</f>
        <v>0</v>
      </c>
      <c r="L34" s="25">
        <f>F34+H34-J34</f>
        <v>457</v>
      </c>
      <c r="M34" s="26">
        <f t="shared" si="1"/>
        <v>27808.45</v>
      </c>
    </row>
    <row r="35" spans="1:14" ht="17.25" customHeight="1">
      <c r="A35" s="5"/>
      <c r="B35" s="24"/>
      <c r="C35" s="9" t="s">
        <v>85</v>
      </c>
      <c r="D35" s="7">
        <v>43126</v>
      </c>
      <c r="E35" s="8">
        <v>145</v>
      </c>
      <c r="F35" s="22">
        <v>0</v>
      </c>
      <c r="G35" s="23">
        <v>0</v>
      </c>
      <c r="H35" s="22">
        <v>9800</v>
      </c>
      <c r="I35" s="23">
        <v>151819.64000000001</v>
      </c>
      <c r="J35" s="22">
        <f>0</f>
        <v>0</v>
      </c>
      <c r="K35" s="23">
        <f>0</f>
        <v>0</v>
      </c>
      <c r="L35" s="25">
        <f>F35+H35-J35</f>
        <v>9800</v>
      </c>
      <c r="M35" s="26">
        <f t="shared" si="1"/>
        <v>151819.64000000001</v>
      </c>
    </row>
    <row r="36" spans="1:14" ht="21" customHeight="1">
      <c r="A36" s="5"/>
      <c r="B36" s="24"/>
      <c r="C36" s="9" t="s">
        <v>85</v>
      </c>
      <c r="D36" s="7">
        <v>43138</v>
      </c>
      <c r="E36" s="8">
        <v>187</v>
      </c>
      <c r="F36" s="22">
        <v>0</v>
      </c>
      <c r="G36" s="23">
        <v>0</v>
      </c>
      <c r="H36" s="22">
        <v>2900</v>
      </c>
      <c r="I36" s="23">
        <v>44926.22</v>
      </c>
      <c r="J36" s="22">
        <f>0</f>
        <v>0</v>
      </c>
      <c r="K36" s="23">
        <f>0</f>
        <v>0</v>
      </c>
      <c r="L36" s="25">
        <f>F36+H36-J36</f>
        <v>2900</v>
      </c>
      <c r="M36" s="26">
        <f t="shared" si="1"/>
        <v>44926.22</v>
      </c>
      <c r="N36" s="17">
        <f>L35+L36</f>
        <v>12700</v>
      </c>
    </row>
    <row r="37" spans="1:14" ht="18.75" customHeight="1">
      <c r="A37" s="5"/>
      <c r="B37" s="24"/>
      <c r="C37" s="9" t="s">
        <v>18</v>
      </c>
      <c r="D37" s="7">
        <v>41999</v>
      </c>
      <c r="E37" s="8">
        <v>1013</v>
      </c>
      <c r="F37" s="22">
        <v>130901</v>
      </c>
      <c r="G37" s="23">
        <v>60087.49</v>
      </c>
      <c r="H37" s="22"/>
      <c r="I37" s="23"/>
      <c r="J37" s="22">
        <f>1021+100+1292+4135+934+594+5194+2397+17+6135+2091+4545+3941+347+830+3988+3532</f>
        <v>41093</v>
      </c>
      <c r="K37" s="23">
        <f>468.67+45.9+593.05+1898.07+428.75+272.66+2384.17+1100.3+7.8+2816.12+959.84+2086.29+1809.04+159.28+380.98+1830.6+1621.4</f>
        <v>18862.920000000002</v>
      </c>
      <c r="L37" s="25">
        <f t="shared" si="0"/>
        <v>89808</v>
      </c>
      <c r="M37" s="26">
        <f t="shared" si="1"/>
        <v>41224.569999999992</v>
      </c>
    </row>
    <row r="38" spans="1:14" ht="16.5" customHeight="1">
      <c r="A38" s="5"/>
      <c r="B38" s="24"/>
      <c r="C38" s="6" t="s">
        <v>49</v>
      </c>
      <c r="D38" s="7">
        <v>42621</v>
      </c>
      <c r="E38" s="8">
        <v>958</v>
      </c>
      <c r="F38" s="22">
        <v>151000</v>
      </c>
      <c r="G38" s="23">
        <v>110687.53</v>
      </c>
      <c r="H38" s="22"/>
      <c r="I38" s="23"/>
      <c r="J38" s="22">
        <f>0</f>
        <v>0</v>
      </c>
      <c r="K38" s="23">
        <f>0</f>
        <v>0</v>
      </c>
      <c r="L38" s="25">
        <f t="shared" ref="L38:L42" si="3">F38+H38-J38</f>
        <v>151000</v>
      </c>
      <c r="M38" s="26">
        <f t="shared" ref="M38:M42" si="4">G38+I38-K38</f>
        <v>110687.53</v>
      </c>
    </row>
    <row r="39" spans="1:14" ht="18.75" customHeight="1">
      <c r="A39" s="5"/>
      <c r="B39" s="24"/>
      <c r="C39" s="6" t="s">
        <v>49</v>
      </c>
      <c r="D39" s="7">
        <v>42621</v>
      </c>
      <c r="E39" s="8">
        <v>958</v>
      </c>
      <c r="F39" s="22">
        <v>16000</v>
      </c>
      <c r="G39" s="23">
        <v>11728.48</v>
      </c>
      <c r="H39" s="22"/>
      <c r="I39" s="23"/>
      <c r="J39" s="22">
        <f>0</f>
        <v>0</v>
      </c>
      <c r="K39" s="23">
        <f>0</f>
        <v>0</v>
      </c>
      <c r="L39" s="25">
        <f t="shared" si="3"/>
        <v>16000</v>
      </c>
      <c r="M39" s="26">
        <f t="shared" si="4"/>
        <v>11728.48</v>
      </c>
    </row>
    <row r="40" spans="1:14" ht="17.25" customHeight="1">
      <c r="A40" s="5"/>
      <c r="B40" s="24"/>
      <c r="C40" s="6" t="s">
        <v>49</v>
      </c>
      <c r="D40" s="7">
        <v>42902</v>
      </c>
      <c r="E40" s="8">
        <v>667</v>
      </c>
      <c r="F40" s="22">
        <v>43500</v>
      </c>
      <c r="G40" s="23">
        <v>27405</v>
      </c>
      <c r="H40" s="22"/>
      <c r="I40" s="23"/>
      <c r="J40" s="22">
        <f>0</f>
        <v>0</v>
      </c>
      <c r="K40" s="23">
        <f>0</f>
        <v>0</v>
      </c>
      <c r="L40" s="25">
        <f t="shared" si="3"/>
        <v>43500</v>
      </c>
      <c r="M40" s="26">
        <f t="shared" si="4"/>
        <v>27405</v>
      </c>
    </row>
    <row r="41" spans="1:14" ht="15.75" customHeight="1">
      <c r="A41" s="5"/>
      <c r="B41" s="24"/>
      <c r="C41" s="9" t="s">
        <v>59</v>
      </c>
      <c r="D41" s="7">
        <v>42928</v>
      </c>
      <c r="E41" s="8">
        <v>790</v>
      </c>
      <c r="F41" s="22">
        <v>14150</v>
      </c>
      <c r="G41" s="23">
        <v>8855.07</v>
      </c>
      <c r="H41" s="22"/>
      <c r="I41" s="23"/>
      <c r="J41" s="22">
        <f>0</f>
        <v>0</v>
      </c>
      <c r="K41" s="23">
        <f>0</f>
        <v>0</v>
      </c>
      <c r="L41" s="25">
        <f t="shared" si="3"/>
        <v>14150</v>
      </c>
      <c r="M41" s="26">
        <f t="shared" si="4"/>
        <v>8855.07</v>
      </c>
    </row>
    <row r="42" spans="1:14" ht="21" customHeight="1">
      <c r="A42" s="5"/>
      <c r="B42" s="24"/>
      <c r="C42" s="9" t="s">
        <v>59</v>
      </c>
      <c r="D42" s="7">
        <v>42975</v>
      </c>
      <c r="E42" s="8">
        <v>973</v>
      </c>
      <c r="F42" s="22">
        <v>33250</v>
      </c>
      <c r="G42" s="23">
        <v>20781.25</v>
      </c>
      <c r="H42" s="22"/>
      <c r="I42" s="23"/>
      <c r="J42" s="22">
        <f>0</f>
        <v>0</v>
      </c>
      <c r="K42" s="23">
        <f>0</f>
        <v>0</v>
      </c>
      <c r="L42" s="25">
        <f t="shared" si="3"/>
        <v>33250</v>
      </c>
      <c r="M42" s="26">
        <f t="shared" si="4"/>
        <v>20781.25</v>
      </c>
    </row>
    <row r="43" spans="1:14" ht="15.75" customHeight="1">
      <c r="A43" s="5"/>
      <c r="B43" s="24"/>
      <c r="C43" s="9" t="s">
        <v>48</v>
      </c>
      <c r="D43" s="7">
        <v>42597</v>
      </c>
      <c r="E43" s="8">
        <v>845</v>
      </c>
      <c r="F43" s="22">
        <v>532</v>
      </c>
      <c r="G43" s="23">
        <v>4391.6400000000003</v>
      </c>
      <c r="H43" s="22"/>
      <c r="I43" s="23"/>
      <c r="J43" s="22">
        <f>524+8</f>
        <v>532</v>
      </c>
      <c r="K43" s="23">
        <f>4325.6+66.04</f>
        <v>4391.6400000000003</v>
      </c>
      <c r="L43" s="25">
        <f t="shared" si="0"/>
        <v>0</v>
      </c>
      <c r="M43" s="26">
        <f t="shared" si="1"/>
        <v>0</v>
      </c>
      <c r="N43" s="18"/>
    </row>
    <row r="44" spans="1:14" ht="19.5" customHeight="1">
      <c r="A44" s="5"/>
      <c r="B44" s="24"/>
      <c r="C44" s="9" t="s">
        <v>67</v>
      </c>
      <c r="D44" s="7">
        <v>42985</v>
      </c>
      <c r="E44" s="8">
        <v>1065</v>
      </c>
      <c r="F44" s="22">
        <v>3580</v>
      </c>
      <c r="G44" s="23">
        <v>24881</v>
      </c>
      <c r="H44" s="22"/>
      <c r="I44" s="23"/>
      <c r="J44" s="22">
        <f>376+712+477+463+476+487</f>
        <v>2991</v>
      </c>
      <c r="K44" s="23">
        <f>2613.2+4948.4+3315.15+3217.85+3308.2+3384.65</f>
        <v>20787.45</v>
      </c>
      <c r="L44" s="25">
        <f t="shared" ref="L44:L46" si="5">F44+H44-J44</f>
        <v>589</v>
      </c>
      <c r="M44" s="26">
        <f t="shared" ref="M44:M46" si="6">G44+I44-K44</f>
        <v>4093.5499999999993</v>
      </c>
      <c r="N44" s="18"/>
    </row>
    <row r="45" spans="1:14" ht="17.25" customHeight="1">
      <c r="A45" s="5"/>
      <c r="B45" s="24"/>
      <c r="C45" s="9" t="s">
        <v>67</v>
      </c>
      <c r="D45" s="7">
        <v>43111</v>
      </c>
      <c r="E45" s="8">
        <v>56</v>
      </c>
      <c r="F45" s="22">
        <v>0</v>
      </c>
      <c r="G45" s="23">
        <v>0</v>
      </c>
      <c r="H45" s="22">
        <v>9150</v>
      </c>
      <c r="I45" s="23">
        <v>63519.3</v>
      </c>
      <c r="J45" s="22">
        <f>0</f>
        <v>0</v>
      </c>
      <c r="K45" s="23">
        <f>0</f>
        <v>0</v>
      </c>
      <c r="L45" s="25">
        <f t="shared" si="5"/>
        <v>9150</v>
      </c>
      <c r="M45" s="26">
        <f t="shared" si="6"/>
        <v>63519.3</v>
      </c>
      <c r="N45" s="18"/>
    </row>
    <row r="46" spans="1:14" ht="18.75" customHeight="1">
      <c r="A46" s="5"/>
      <c r="B46" s="24"/>
      <c r="C46" s="9" t="s">
        <v>67</v>
      </c>
      <c r="D46" s="7">
        <v>43225</v>
      </c>
      <c r="E46" s="8">
        <v>853</v>
      </c>
      <c r="F46" s="22">
        <v>0</v>
      </c>
      <c r="G46" s="23">
        <v>0</v>
      </c>
      <c r="H46" s="22">
        <v>40</v>
      </c>
      <c r="I46" s="23">
        <v>277.68</v>
      </c>
      <c r="J46" s="22">
        <f>0</f>
        <v>0</v>
      </c>
      <c r="K46" s="23">
        <f>0</f>
        <v>0</v>
      </c>
      <c r="L46" s="25">
        <f t="shared" si="5"/>
        <v>40</v>
      </c>
      <c r="M46" s="26">
        <f t="shared" si="6"/>
        <v>277.68</v>
      </c>
      <c r="N46" s="18"/>
    </row>
    <row r="47" spans="1:14" ht="38.25" customHeight="1">
      <c r="A47" s="5"/>
      <c r="B47" s="24"/>
      <c r="C47" s="9" t="s">
        <v>61</v>
      </c>
      <c r="D47" s="7">
        <v>42950</v>
      </c>
      <c r="E47" s="8">
        <v>895</v>
      </c>
      <c r="F47" s="22">
        <v>265</v>
      </c>
      <c r="G47" s="23">
        <v>34049.85</v>
      </c>
      <c r="H47" s="22"/>
      <c r="I47" s="23"/>
      <c r="J47" s="22">
        <f>24+52+63+49</f>
        <v>188</v>
      </c>
      <c r="K47" s="23">
        <f>3083.76+6681.48+8094.87+6296.01</f>
        <v>24156.120000000003</v>
      </c>
      <c r="L47" s="25">
        <f t="shared" si="0"/>
        <v>77</v>
      </c>
      <c r="M47" s="26">
        <f t="shared" si="1"/>
        <v>9893.7299999999959</v>
      </c>
      <c r="N47" s="18"/>
    </row>
    <row r="48" spans="1:14" ht="21" customHeight="1">
      <c r="A48" s="5"/>
      <c r="B48" s="24"/>
      <c r="C48" s="9" t="s">
        <v>63</v>
      </c>
      <c r="D48" s="7">
        <v>42975</v>
      </c>
      <c r="E48" s="8">
        <v>973</v>
      </c>
      <c r="F48" s="22">
        <v>20170</v>
      </c>
      <c r="G48" s="23">
        <v>27168.99</v>
      </c>
      <c r="H48" s="22"/>
      <c r="I48" s="23"/>
      <c r="J48" s="22">
        <f>0</f>
        <v>0</v>
      </c>
      <c r="K48" s="23">
        <f>0</f>
        <v>0</v>
      </c>
      <c r="L48" s="25">
        <f t="shared" si="0"/>
        <v>20170</v>
      </c>
      <c r="M48" s="26">
        <f t="shared" si="1"/>
        <v>27168.99</v>
      </c>
      <c r="N48" s="18"/>
    </row>
    <row r="49" spans="1:14" ht="20.25" customHeight="1">
      <c r="A49" s="5"/>
      <c r="B49" s="24"/>
      <c r="C49" s="9" t="s">
        <v>63</v>
      </c>
      <c r="D49" s="7">
        <v>42975</v>
      </c>
      <c r="E49" s="8">
        <v>973</v>
      </c>
      <c r="F49" s="22">
        <v>14300</v>
      </c>
      <c r="G49" s="23">
        <v>19262.099999999999</v>
      </c>
      <c r="H49" s="22"/>
      <c r="I49" s="23"/>
      <c r="J49" s="22">
        <f>0</f>
        <v>0</v>
      </c>
      <c r="K49" s="23">
        <f>0</f>
        <v>0</v>
      </c>
      <c r="L49" s="25">
        <f t="shared" si="0"/>
        <v>14300</v>
      </c>
      <c r="M49" s="26">
        <f t="shared" si="1"/>
        <v>19262.099999999999</v>
      </c>
      <c r="N49" s="18"/>
    </row>
    <row r="50" spans="1:14" ht="20.25" customHeight="1">
      <c r="A50" s="5"/>
      <c r="B50" s="24"/>
      <c r="C50" s="9" t="s">
        <v>63</v>
      </c>
      <c r="D50" s="7">
        <v>43041</v>
      </c>
      <c r="E50" s="8">
        <v>1356</v>
      </c>
      <c r="F50" s="22">
        <v>27390</v>
      </c>
      <c r="G50" s="23">
        <v>36620.43</v>
      </c>
      <c r="H50" s="22"/>
      <c r="I50" s="23"/>
      <c r="J50" s="22">
        <f>0</f>
        <v>0</v>
      </c>
      <c r="K50" s="23">
        <f>0</f>
        <v>0</v>
      </c>
      <c r="L50" s="25">
        <f t="shared" si="0"/>
        <v>27390</v>
      </c>
      <c r="M50" s="26">
        <f t="shared" si="1"/>
        <v>36620.43</v>
      </c>
      <c r="N50" s="18"/>
    </row>
    <row r="51" spans="1:14" ht="32.25" customHeight="1">
      <c r="A51" s="5"/>
      <c r="B51" s="24"/>
      <c r="C51" s="9" t="s">
        <v>66</v>
      </c>
      <c r="D51" s="7">
        <v>42985</v>
      </c>
      <c r="E51" s="8">
        <v>1065</v>
      </c>
      <c r="F51" s="22">
        <v>30890</v>
      </c>
      <c r="G51" s="23">
        <v>22487.919999999998</v>
      </c>
      <c r="H51" s="22"/>
      <c r="I51" s="23"/>
      <c r="J51" s="22">
        <f>0</f>
        <v>0</v>
      </c>
      <c r="K51" s="23">
        <f>0</f>
        <v>0</v>
      </c>
      <c r="L51" s="25">
        <f t="shared" si="0"/>
        <v>30890</v>
      </c>
      <c r="M51" s="26">
        <f t="shared" si="1"/>
        <v>22487.919999999998</v>
      </c>
      <c r="N51" s="18"/>
    </row>
    <row r="52" spans="1:14" ht="16.5" customHeight="1">
      <c r="A52" s="5"/>
      <c r="B52" s="24"/>
      <c r="C52" s="9" t="s">
        <v>65</v>
      </c>
      <c r="D52" s="7">
        <v>42975</v>
      </c>
      <c r="E52" s="8">
        <v>973</v>
      </c>
      <c r="F52" s="22">
        <v>2</v>
      </c>
      <c r="G52" s="23">
        <v>68.42</v>
      </c>
      <c r="H52" s="22"/>
      <c r="I52" s="23"/>
      <c r="J52" s="22">
        <f>2</f>
        <v>2</v>
      </c>
      <c r="K52" s="23">
        <f>68.42</f>
        <v>68.42</v>
      </c>
      <c r="L52" s="25">
        <f t="shared" si="0"/>
        <v>0</v>
      </c>
      <c r="M52" s="26">
        <f t="shared" si="1"/>
        <v>0</v>
      </c>
      <c r="N52" s="18"/>
    </row>
    <row r="53" spans="1:14" ht="33.75" customHeight="1">
      <c r="A53" s="5"/>
      <c r="B53" s="24"/>
      <c r="C53" s="9" t="s">
        <v>57</v>
      </c>
      <c r="D53" s="7">
        <v>42898</v>
      </c>
      <c r="E53" s="8">
        <v>647</v>
      </c>
      <c r="F53" s="22">
        <v>9000</v>
      </c>
      <c r="G53" s="23">
        <v>20157.3</v>
      </c>
      <c r="H53" s="22"/>
      <c r="I53" s="23"/>
      <c r="J53" s="22">
        <f>0</f>
        <v>0</v>
      </c>
      <c r="K53" s="23">
        <f>0</f>
        <v>0</v>
      </c>
      <c r="L53" s="25">
        <f t="shared" si="0"/>
        <v>9000</v>
      </c>
      <c r="M53" s="26">
        <f t="shared" si="1"/>
        <v>20157.3</v>
      </c>
      <c r="N53" s="18"/>
    </row>
    <row r="54" spans="1:14" ht="33.75" customHeight="1">
      <c r="A54" s="5"/>
      <c r="B54" s="24"/>
      <c r="C54" s="9" t="s">
        <v>57</v>
      </c>
      <c r="D54" s="7">
        <v>42898</v>
      </c>
      <c r="E54" s="8">
        <v>647</v>
      </c>
      <c r="F54" s="22">
        <v>27700</v>
      </c>
      <c r="G54" s="23">
        <v>62039.69</v>
      </c>
      <c r="H54" s="22"/>
      <c r="I54" s="23"/>
      <c r="J54" s="22">
        <f>0</f>
        <v>0</v>
      </c>
      <c r="K54" s="23">
        <f>0</f>
        <v>0</v>
      </c>
      <c r="L54" s="25">
        <f t="shared" si="0"/>
        <v>27700</v>
      </c>
      <c r="M54" s="26">
        <f t="shared" si="1"/>
        <v>62039.69</v>
      </c>
      <c r="N54" s="18"/>
    </row>
    <row r="55" spans="1:14" ht="33" customHeight="1">
      <c r="A55" s="5"/>
      <c r="B55" s="24"/>
      <c r="C55" s="9" t="s">
        <v>57</v>
      </c>
      <c r="D55" s="7">
        <v>42933</v>
      </c>
      <c r="E55" s="8">
        <v>811</v>
      </c>
      <c r="F55" s="22">
        <v>27400</v>
      </c>
      <c r="G55" s="23">
        <v>61337.64</v>
      </c>
      <c r="H55" s="22"/>
      <c r="I55" s="23"/>
      <c r="J55" s="22">
        <f>0</f>
        <v>0</v>
      </c>
      <c r="K55" s="23">
        <f>0</f>
        <v>0</v>
      </c>
      <c r="L55" s="25">
        <f t="shared" si="0"/>
        <v>27400</v>
      </c>
      <c r="M55" s="26">
        <f t="shared" si="1"/>
        <v>61337.64</v>
      </c>
      <c r="N55" s="18"/>
    </row>
    <row r="56" spans="1:14" ht="30.75" customHeight="1">
      <c r="A56" s="5"/>
      <c r="B56" s="24"/>
      <c r="C56" s="9" t="s">
        <v>57</v>
      </c>
      <c r="D56" s="7">
        <v>42975</v>
      </c>
      <c r="E56" s="8">
        <v>973</v>
      </c>
      <c r="F56" s="22">
        <v>13900</v>
      </c>
      <c r="G56" s="23">
        <v>31116.54</v>
      </c>
      <c r="H56" s="22"/>
      <c r="I56" s="23"/>
      <c r="J56" s="22">
        <f>0</f>
        <v>0</v>
      </c>
      <c r="K56" s="23">
        <f>0</f>
        <v>0</v>
      </c>
      <c r="L56" s="25">
        <f t="shared" si="0"/>
        <v>13900</v>
      </c>
      <c r="M56" s="26">
        <f t="shared" si="1"/>
        <v>31116.54</v>
      </c>
      <c r="N56" s="18"/>
    </row>
    <row r="57" spans="1:14" ht="33.75" customHeight="1">
      <c r="A57" s="5"/>
      <c r="B57" s="24"/>
      <c r="C57" s="9" t="s">
        <v>57</v>
      </c>
      <c r="D57" s="7">
        <v>42993</v>
      </c>
      <c r="E57" s="8">
        <v>1106</v>
      </c>
      <c r="F57" s="22">
        <v>13600</v>
      </c>
      <c r="G57" s="23">
        <v>30444.959999999999</v>
      </c>
      <c r="H57" s="22"/>
      <c r="I57" s="23"/>
      <c r="J57" s="22">
        <f>0</f>
        <v>0</v>
      </c>
      <c r="K57" s="23">
        <f>0</f>
        <v>0</v>
      </c>
      <c r="L57" s="25">
        <f t="shared" si="0"/>
        <v>13600</v>
      </c>
      <c r="M57" s="26">
        <f t="shared" si="1"/>
        <v>30444.959999999999</v>
      </c>
      <c r="N57" s="18"/>
    </row>
    <row r="58" spans="1:14" ht="37.5" customHeight="1">
      <c r="A58" s="5"/>
      <c r="B58" s="24"/>
      <c r="C58" s="9" t="s">
        <v>57</v>
      </c>
      <c r="D58" s="7">
        <v>43060</v>
      </c>
      <c r="E58" s="8">
        <v>1461</v>
      </c>
      <c r="F58" s="22">
        <v>38480</v>
      </c>
      <c r="G58" s="23">
        <v>107729.57</v>
      </c>
      <c r="H58" s="22"/>
      <c r="I58" s="23"/>
      <c r="J58" s="22">
        <f>0</f>
        <v>0</v>
      </c>
      <c r="K58" s="23">
        <f>0</f>
        <v>0</v>
      </c>
      <c r="L58" s="25">
        <f t="shared" si="0"/>
        <v>38480</v>
      </c>
      <c r="M58" s="26">
        <f t="shared" si="1"/>
        <v>107729.57</v>
      </c>
      <c r="N58" s="18"/>
    </row>
    <row r="59" spans="1:14" ht="36.75" customHeight="1">
      <c r="A59" s="5"/>
      <c r="B59" s="24"/>
      <c r="C59" s="9" t="s">
        <v>19</v>
      </c>
      <c r="D59" s="7">
        <v>41999</v>
      </c>
      <c r="E59" s="8">
        <v>1013</v>
      </c>
      <c r="F59" s="22">
        <v>1878</v>
      </c>
      <c r="G59" s="23">
        <v>6570.93</v>
      </c>
      <c r="H59" s="22"/>
      <c r="I59" s="23"/>
      <c r="J59" s="22">
        <f>899+979</f>
        <v>1878</v>
      </c>
      <c r="K59" s="23">
        <f>3145.51+3425.42</f>
        <v>6570.93</v>
      </c>
      <c r="L59" s="25">
        <f t="shared" si="0"/>
        <v>0</v>
      </c>
      <c r="M59" s="26">
        <f t="shared" si="1"/>
        <v>0</v>
      </c>
    </row>
    <row r="60" spans="1:14" ht="17.25" customHeight="1">
      <c r="A60" s="5"/>
      <c r="B60" s="24"/>
      <c r="C60" s="9" t="s">
        <v>68</v>
      </c>
      <c r="D60" s="7">
        <v>43000</v>
      </c>
      <c r="E60" s="8">
        <v>1143</v>
      </c>
      <c r="F60" s="22">
        <v>264</v>
      </c>
      <c r="G60" s="23">
        <v>33921.360000000001</v>
      </c>
      <c r="H60" s="22"/>
      <c r="I60" s="23"/>
      <c r="J60" s="22">
        <f>9+34+76+67+44</f>
        <v>230</v>
      </c>
      <c r="K60" s="23">
        <f>1156.41+4368.66+9765.24+8608.83+5653.56</f>
        <v>29552.7</v>
      </c>
      <c r="L60" s="25">
        <f t="shared" si="0"/>
        <v>34</v>
      </c>
      <c r="M60" s="26">
        <f t="shared" si="1"/>
        <v>4368.66</v>
      </c>
    </row>
    <row r="61" spans="1:14" ht="15.75" customHeight="1">
      <c r="A61" s="5"/>
      <c r="B61" s="24"/>
      <c r="C61" s="6" t="s">
        <v>15</v>
      </c>
      <c r="D61" s="7">
        <v>40886</v>
      </c>
      <c r="E61" s="8">
        <v>891</v>
      </c>
      <c r="F61" s="22">
        <v>135600</v>
      </c>
      <c r="G61" s="23">
        <v>36544.199999999997</v>
      </c>
      <c r="H61" s="22"/>
      <c r="I61" s="23"/>
      <c r="J61" s="22">
        <f>0</f>
        <v>0</v>
      </c>
      <c r="K61" s="23">
        <f>0</f>
        <v>0</v>
      </c>
      <c r="L61" s="25">
        <f t="shared" si="0"/>
        <v>135600</v>
      </c>
      <c r="M61" s="26">
        <f t="shared" si="1"/>
        <v>36544.199999999997</v>
      </c>
    </row>
    <row r="62" spans="1:14" ht="15" customHeight="1">
      <c r="A62" s="5"/>
      <c r="B62" s="24"/>
      <c r="C62" s="9" t="s">
        <v>16</v>
      </c>
      <c r="D62" s="7">
        <v>41999</v>
      </c>
      <c r="E62" s="8">
        <v>1013</v>
      </c>
      <c r="F62" s="22">
        <v>160900</v>
      </c>
      <c r="G62" s="23">
        <v>64044.65</v>
      </c>
      <c r="H62" s="22"/>
      <c r="I62" s="23"/>
      <c r="J62" s="22">
        <f>332+827+1810+11143</f>
        <v>14112</v>
      </c>
      <c r="K62" s="23">
        <f>132.15+329.18+720.45+4435.36</f>
        <v>5617.1399999999994</v>
      </c>
      <c r="L62" s="32">
        <f t="shared" si="0"/>
        <v>146788</v>
      </c>
      <c r="M62" s="33">
        <f t="shared" si="1"/>
        <v>58427.51</v>
      </c>
    </row>
    <row r="63" spans="1:14" ht="17.25" customHeight="1">
      <c r="A63" s="5"/>
      <c r="B63" s="24"/>
      <c r="C63" s="9" t="s">
        <v>86</v>
      </c>
      <c r="D63" s="7">
        <v>43182</v>
      </c>
      <c r="E63" s="8">
        <v>547</v>
      </c>
      <c r="F63" s="22">
        <v>0</v>
      </c>
      <c r="G63" s="23">
        <v>0</v>
      </c>
      <c r="H63" s="22">
        <v>5850</v>
      </c>
      <c r="I63" s="23">
        <v>11264.76</v>
      </c>
      <c r="J63" s="22">
        <f>108</f>
        <v>108</v>
      </c>
      <c r="K63" s="23">
        <f>207.96</f>
        <v>207.96</v>
      </c>
      <c r="L63" s="32">
        <f t="shared" si="0"/>
        <v>5742</v>
      </c>
      <c r="M63" s="33">
        <f t="shared" si="1"/>
        <v>11056.800000000001</v>
      </c>
    </row>
    <row r="64" spans="1:14" ht="18" customHeight="1">
      <c r="A64" s="5"/>
      <c r="B64" s="24"/>
      <c r="C64" s="9" t="s">
        <v>86</v>
      </c>
      <c r="D64" s="7">
        <v>43209</v>
      </c>
      <c r="E64" s="8">
        <v>759</v>
      </c>
      <c r="F64" s="22">
        <v>0</v>
      </c>
      <c r="G64" s="23">
        <v>0</v>
      </c>
      <c r="H64" s="22">
        <v>30200</v>
      </c>
      <c r="I64" s="23">
        <v>58147.08</v>
      </c>
      <c r="J64" s="22">
        <f>0</f>
        <v>0</v>
      </c>
      <c r="K64" s="23">
        <f>0</f>
        <v>0</v>
      </c>
      <c r="L64" s="32">
        <f t="shared" si="0"/>
        <v>30200</v>
      </c>
      <c r="M64" s="33">
        <f t="shared" si="1"/>
        <v>58147.08</v>
      </c>
    </row>
    <row r="65" spans="1:15" ht="18" customHeight="1">
      <c r="A65" s="5"/>
      <c r="B65" s="24"/>
      <c r="C65" s="9" t="s">
        <v>86</v>
      </c>
      <c r="D65" s="7">
        <v>43238</v>
      </c>
      <c r="E65" s="8">
        <v>964</v>
      </c>
      <c r="F65" s="22">
        <v>0</v>
      </c>
      <c r="G65" s="23">
        <v>0</v>
      </c>
      <c r="H65" s="22">
        <v>82500</v>
      </c>
      <c r="I65" s="23">
        <v>158845.5</v>
      </c>
      <c r="J65" s="22">
        <f>0</f>
        <v>0</v>
      </c>
      <c r="K65" s="23">
        <f>0</f>
        <v>0</v>
      </c>
      <c r="L65" s="32">
        <f t="shared" si="0"/>
        <v>82500</v>
      </c>
      <c r="M65" s="33">
        <f t="shared" si="1"/>
        <v>158845.5</v>
      </c>
    </row>
    <row r="66" spans="1:15" ht="32.25" customHeight="1">
      <c r="A66" s="5"/>
      <c r="B66" s="24"/>
      <c r="C66" s="6" t="s">
        <v>73</v>
      </c>
      <c r="D66" s="7">
        <v>43068</v>
      </c>
      <c r="E66" s="8">
        <v>1493</v>
      </c>
      <c r="F66" s="22">
        <v>55104</v>
      </c>
      <c r="G66" s="23">
        <v>43176.28</v>
      </c>
      <c r="H66" s="22"/>
      <c r="I66" s="23"/>
      <c r="J66" s="22">
        <f>0</f>
        <v>0</v>
      </c>
      <c r="K66" s="23">
        <f>0</f>
        <v>0</v>
      </c>
      <c r="L66" s="25">
        <f t="shared" si="0"/>
        <v>55104</v>
      </c>
      <c r="M66" s="26">
        <f t="shared" si="1"/>
        <v>43176.28</v>
      </c>
      <c r="N66" s="17"/>
      <c r="O66" s="18"/>
    </row>
    <row r="67" spans="1:15" ht="36.75" customHeight="1">
      <c r="A67" s="5"/>
      <c r="B67" s="24"/>
      <c r="C67" s="6" t="s">
        <v>73</v>
      </c>
      <c r="D67" s="7">
        <v>43124</v>
      </c>
      <c r="E67" s="8">
        <v>125</v>
      </c>
      <c r="F67" s="22">
        <v>0</v>
      </c>
      <c r="G67" s="23">
        <v>0</v>
      </c>
      <c r="H67" s="22">
        <v>55412</v>
      </c>
      <c r="I67" s="23">
        <v>43417.61</v>
      </c>
      <c r="J67" s="22">
        <f>496+492</f>
        <v>988</v>
      </c>
      <c r="K67" s="23">
        <f>388.64+385.5</f>
        <v>774.14</v>
      </c>
      <c r="L67" s="25">
        <f t="shared" si="0"/>
        <v>54424</v>
      </c>
      <c r="M67" s="26">
        <f t="shared" si="1"/>
        <v>42643.47</v>
      </c>
      <c r="N67" s="17"/>
      <c r="O67" s="18"/>
    </row>
    <row r="68" spans="1:15" ht="50.25" customHeight="1">
      <c r="A68" s="5"/>
      <c r="B68" s="24"/>
      <c r="C68" s="6" t="s">
        <v>74</v>
      </c>
      <c r="D68" s="7">
        <v>43068</v>
      </c>
      <c r="E68" s="8">
        <v>1493</v>
      </c>
      <c r="F68" s="22">
        <v>27552</v>
      </c>
      <c r="G68" s="23">
        <v>45918.77</v>
      </c>
      <c r="H68" s="22"/>
      <c r="I68" s="23"/>
      <c r="J68" s="22">
        <f>0</f>
        <v>0</v>
      </c>
      <c r="K68" s="23">
        <f>0</f>
        <v>0</v>
      </c>
      <c r="L68" s="25">
        <f t="shared" si="0"/>
        <v>27552</v>
      </c>
      <c r="M68" s="26">
        <f t="shared" si="1"/>
        <v>45918.77</v>
      </c>
      <c r="N68" s="17"/>
      <c r="O68" s="18"/>
    </row>
    <row r="69" spans="1:15" ht="50.25" customHeight="1">
      <c r="A69" s="5"/>
      <c r="B69" s="24"/>
      <c r="C69" s="6" t="s">
        <v>74</v>
      </c>
      <c r="D69" s="7">
        <v>43124</v>
      </c>
      <c r="E69" s="8">
        <v>125</v>
      </c>
      <c r="F69" s="22">
        <v>0</v>
      </c>
      <c r="G69" s="23">
        <v>0</v>
      </c>
      <c r="H69" s="22">
        <v>9632</v>
      </c>
      <c r="I69" s="23">
        <v>16052.91</v>
      </c>
      <c r="J69" s="22">
        <f>28+112+560</f>
        <v>700</v>
      </c>
      <c r="K69" s="23">
        <f>46.67+186.66+933.31</f>
        <v>1166.6399999999999</v>
      </c>
      <c r="L69" s="25">
        <f t="shared" si="0"/>
        <v>8932</v>
      </c>
      <c r="M69" s="26">
        <f t="shared" si="1"/>
        <v>14886.27</v>
      </c>
      <c r="N69" s="17"/>
      <c r="O69" s="18"/>
    </row>
    <row r="70" spans="1:15" ht="50.25" customHeight="1">
      <c r="A70" s="5"/>
      <c r="B70" s="24"/>
      <c r="C70" s="6" t="s">
        <v>74</v>
      </c>
      <c r="D70" s="7">
        <v>43124</v>
      </c>
      <c r="E70" s="8">
        <v>125</v>
      </c>
      <c r="F70" s="22">
        <v>0</v>
      </c>
      <c r="G70" s="23">
        <v>0</v>
      </c>
      <c r="H70" s="22">
        <v>18060</v>
      </c>
      <c r="I70" s="23">
        <v>30099.19</v>
      </c>
      <c r="J70" s="22">
        <f>0</f>
        <v>0</v>
      </c>
      <c r="K70" s="23">
        <f>0</f>
        <v>0</v>
      </c>
      <c r="L70" s="25">
        <f t="shared" si="0"/>
        <v>18060</v>
      </c>
      <c r="M70" s="26">
        <f t="shared" si="1"/>
        <v>30099.19</v>
      </c>
      <c r="N70" s="17"/>
      <c r="O70" s="18"/>
    </row>
    <row r="71" spans="1:15" ht="18" customHeight="1">
      <c r="A71" s="5"/>
      <c r="B71" s="24"/>
      <c r="C71" s="6" t="s">
        <v>84</v>
      </c>
      <c r="D71" s="7">
        <v>43111</v>
      </c>
      <c r="E71" s="8">
        <v>56</v>
      </c>
      <c r="F71" s="22">
        <v>0</v>
      </c>
      <c r="G71" s="23">
        <v>0</v>
      </c>
      <c r="H71" s="22">
        <v>9000</v>
      </c>
      <c r="I71" s="23">
        <v>231168.6</v>
      </c>
      <c r="J71" s="22">
        <f>664+1423+939+1043</f>
        <v>4069</v>
      </c>
      <c r="K71" s="23">
        <f>17055.11+36550.32+24118.59+26789.87</f>
        <v>104513.89</v>
      </c>
      <c r="L71" s="25">
        <f t="shared" si="0"/>
        <v>4931</v>
      </c>
      <c r="M71" s="26">
        <f t="shared" si="1"/>
        <v>126654.71</v>
      </c>
      <c r="N71" s="17"/>
      <c r="O71" s="18"/>
    </row>
    <row r="72" spans="1:15" ht="18" customHeight="1">
      <c r="A72" s="5"/>
      <c r="B72" s="24"/>
      <c r="C72" s="6" t="s">
        <v>84</v>
      </c>
      <c r="D72" s="7">
        <v>43182</v>
      </c>
      <c r="E72" s="8">
        <v>547</v>
      </c>
      <c r="F72" s="22">
        <v>0</v>
      </c>
      <c r="G72" s="23">
        <v>0</v>
      </c>
      <c r="H72" s="22">
        <v>2700</v>
      </c>
      <c r="I72" s="23">
        <v>69350.850000000006</v>
      </c>
      <c r="J72" s="22">
        <f>0</f>
        <v>0</v>
      </c>
      <c r="K72" s="23">
        <f>0</f>
        <v>0</v>
      </c>
      <c r="L72" s="25">
        <f t="shared" si="0"/>
        <v>2700</v>
      </c>
      <c r="M72" s="26">
        <f t="shared" si="1"/>
        <v>69350.850000000006</v>
      </c>
      <c r="N72" s="17"/>
      <c r="O72" s="18"/>
    </row>
    <row r="73" spans="1:15" ht="16.5" customHeight="1">
      <c r="A73" s="5"/>
      <c r="B73" s="24"/>
      <c r="C73" s="6" t="s">
        <v>58</v>
      </c>
      <c r="D73" s="7">
        <v>42898</v>
      </c>
      <c r="E73" s="8">
        <v>647</v>
      </c>
      <c r="F73" s="22">
        <v>900</v>
      </c>
      <c r="G73" s="23">
        <v>5784.9</v>
      </c>
      <c r="H73" s="22"/>
      <c r="I73" s="23"/>
      <c r="J73" s="22">
        <f>0</f>
        <v>0</v>
      </c>
      <c r="K73" s="23">
        <f>0</f>
        <v>0</v>
      </c>
      <c r="L73" s="25">
        <f t="shared" si="0"/>
        <v>900</v>
      </c>
      <c r="M73" s="26">
        <f t="shared" si="1"/>
        <v>5784.9</v>
      </c>
      <c r="N73" s="17"/>
      <c r="O73" s="18"/>
    </row>
    <row r="74" spans="1:15" ht="17.25" customHeight="1">
      <c r="A74" s="5"/>
      <c r="B74" s="24"/>
      <c r="C74" s="6" t="s">
        <v>58</v>
      </c>
      <c r="D74" s="7">
        <v>42975</v>
      </c>
      <c r="E74" s="8">
        <v>973</v>
      </c>
      <c r="F74" s="22">
        <v>7470</v>
      </c>
      <c r="G74" s="23">
        <v>48027.12</v>
      </c>
      <c r="H74" s="22"/>
      <c r="I74" s="23"/>
      <c r="J74" s="22">
        <f>0</f>
        <v>0</v>
      </c>
      <c r="K74" s="23">
        <f>0</f>
        <v>0</v>
      </c>
      <c r="L74" s="25">
        <f t="shared" si="0"/>
        <v>7470</v>
      </c>
      <c r="M74" s="26">
        <f t="shared" si="1"/>
        <v>48027.12</v>
      </c>
      <c r="N74" s="17"/>
      <c r="O74" s="18"/>
    </row>
    <row r="75" spans="1:15" ht="17.25" customHeight="1">
      <c r="A75" s="5"/>
      <c r="B75" s="24"/>
      <c r="C75" s="6" t="s">
        <v>58</v>
      </c>
      <c r="D75" s="7">
        <v>42993</v>
      </c>
      <c r="E75" s="8">
        <v>1106</v>
      </c>
      <c r="F75" s="22">
        <v>24510</v>
      </c>
      <c r="G75" s="23">
        <v>157582.96</v>
      </c>
      <c r="H75" s="22"/>
      <c r="I75" s="23"/>
      <c r="J75" s="22">
        <f>0</f>
        <v>0</v>
      </c>
      <c r="K75" s="23">
        <f>0</f>
        <v>0</v>
      </c>
      <c r="L75" s="25">
        <f t="shared" si="0"/>
        <v>24510</v>
      </c>
      <c r="M75" s="26">
        <f t="shared" si="1"/>
        <v>157582.96</v>
      </c>
      <c r="N75" s="17"/>
      <c r="O75" s="18"/>
    </row>
    <row r="76" spans="1:15" ht="14.25" customHeight="1">
      <c r="A76" s="5"/>
      <c r="B76" s="24"/>
      <c r="C76" s="6" t="s">
        <v>58</v>
      </c>
      <c r="D76" s="7">
        <v>43060</v>
      </c>
      <c r="E76" s="8">
        <v>1461</v>
      </c>
      <c r="F76" s="22">
        <v>84120</v>
      </c>
      <c r="G76" s="23">
        <v>540695.31999999995</v>
      </c>
      <c r="H76" s="22"/>
      <c r="I76" s="23"/>
      <c r="J76" s="22">
        <f>0</f>
        <v>0</v>
      </c>
      <c r="K76" s="23">
        <f>0</f>
        <v>0</v>
      </c>
      <c r="L76" s="25">
        <f t="shared" si="0"/>
        <v>84120</v>
      </c>
      <c r="M76" s="26">
        <f t="shared" si="1"/>
        <v>540695.31999999995</v>
      </c>
      <c r="N76" s="17"/>
      <c r="O76" s="18"/>
    </row>
    <row r="77" spans="1:15" ht="31.5">
      <c r="A77" s="11" t="s">
        <v>24</v>
      </c>
      <c r="B77" s="24">
        <v>2301400</v>
      </c>
      <c r="C77" s="6" t="s">
        <v>21</v>
      </c>
      <c r="D77" s="7">
        <v>41473</v>
      </c>
      <c r="E77" s="8">
        <v>620</v>
      </c>
      <c r="F77" s="22">
        <v>800</v>
      </c>
      <c r="G77" s="23">
        <v>40</v>
      </c>
      <c r="H77" s="22"/>
      <c r="I77" s="23"/>
      <c r="J77" s="22">
        <f>510+290</f>
        <v>800</v>
      </c>
      <c r="K77" s="23">
        <f>25.5+14.5</f>
        <v>40</v>
      </c>
      <c r="L77" s="25">
        <f>F77+H77-J77</f>
        <v>0</v>
      </c>
      <c r="M77" s="26">
        <f>G77+I77-K77</f>
        <v>0</v>
      </c>
    </row>
    <row r="78" spans="1:15" ht="15.75">
      <c r="A78" s="5"/>
      <c r="B78" s="24"/>
      <c r="C78" s="10" t="s">
        <v>22</v>
      </c>
      <c r="D78" s="7">
        <v>41450</v>
      </c>
      <c r="E78" s="8">
        <v>542</v>
      </c>
      <c r="F78" s="22">
        <v>11055</v>
      </c>
      <c r="G78" s="23">
        <v>3537.6</v>
      </c>
      <c r="H78" s="22"/>
      <c r="I78" s="23"/>
      <c r="J78" s="22">
        <f>3316+3228+3641+388+212+270</f>
        <v>11055</v>
      </c>
      <c r="K78" s="23">
        <f>1061.12+1032.96+1165.12+124.16+67.84+86.4</f>
        <v>3537.6</v>
      </c>
      <c r="L78" s="25">
        <f>F78+H78-J78</f>
        <v>0</v>
      </c>
      <c r="M78" s="26">
        <f>G78+I78-K78</f>
        <v>0</v>
      </c>
      <c r="N78" s="17"/>
    </row>
    <row r="79" spans="1:15" ht="31.5">
      <c r="A79" s="5"/>
      <c r="B79" s="24"/>
      <c r="C79" s="6" t="s">
        <v>23</v>
      </c>
      <c r="D79" s="7">
        <v>41744</v>
      </c>
      <c r="E79" s="8">
        <v>269</v>
      </c>
      <c r="F79" s="22">
        <v>3</v>
      </c>
      <c r="G79" s="23">
        <v>7526.79</v>
      </c>
      <c r="H79" s="22"/>
      <c r="I79" s="23"/>
      <c r="J79" s="22">
        <f>0</f>
        <v>0</v>
      </c>
      <c r="K79" s="23">
        <f>0</f>
        <v>0</v>
      </c>
      <c r="L79" s="25">
        <f t="shared" ref="L79:L127" si="7">F79+H79-J79</f>
        <v>3</v>
      </c>
      <c r="M79" s="26">
        <f t="shared" ref="M79:M127" si="8">G79+I79-K79</f>
        <v>7526.79</v>
      </c>
      <c r="N79" s="18"/>
      <c r="O79" s="18"/>
    </row>
    <row r="80" spans="1:15" ht="63">
      <c r="A80" s="5" t="s">
        <v>32</v>
      </c>
      <c r="B80" s="24">
        <v>2301400</v>
      </c>
      <c r="C80" s="6" t="s">
        <v>35</v>
      </c>
      <c r="D80" s="7">
        <v>42481</v>
      </c>
      <c r="E80" s="8">
        <v>371</v>
      </c>
      <c r="F80" s="22">
        <v>132</v>
      </c>
      <c r="G80" s="23">
        <v>11340.12</v>
      </c>
      <c r="H80" s="22"/>
      <c r="I80" s="23"/>
      <c r="J80" s="22">
        <f>44+88</f>
        <v>132</v>
      </c>
      <c r="K80" s="23">
        <f>3780.04+7560.08</f>
        <v>11340.119999999999</v>
      </c>
      <c r="L80" s="25">
        <f t="shared" ref="L80:L110" si="9">F80+H80-J80</f>
        <v>0</v>
      </c>
      <c r="M80" s="26">
        <f t="shared" si="8"/>
        <v>0</v>
      </c>
    </row>
    <row r="81" spans="1:15" ht="31.5">
      <c r="A81" s="5"/>
      <c r="B81" s="24"/>
      <c r="C81" s="6" t="s">
        <v>44</v>
      </c>
      <c r="D81" s="7">
        <v>42552</v>
      </c>
      <c r="E81" s="8">
        <v>645</v>
      </c>
      <c r="F81" s="22">
        <v>361</v>
      </c>
      <c r="G81" s="23">
        <v>91.65</v>
      </c>
      <c r="H81" s="22"/>
      <c r="I81" s="23"/>
      <c r="J81" s="22">
        <f>135+113+113</f>
        <v>361</v>
      </c>
      <c r="K81" s="23">
        <f>34.28+28.68+28.69</f>
        <v>91.65</v>
      </c>
      <c r="L81" s="25">
        <f t="shared" si="9"/>
        <v>0</v>
      </c>
      <c r="M81" s="26">
        <f t="shared" si="8"/>
        <v>0</v>
      </c>
    </row>
    <row r="82" spans="1:15" ht="31.5">
      <c r="A82" s="5"/>
      <c r="B82" s="24"/>
      <c r="C82" s="6" t="s">
        <v>44</v>
      </c>
      <c r="D82" s="7">
        <v>42565</v>
      </c>
      <c r="E82" s="8">
        <v>707</v>
      </c>
      <c r="F82" s="22">
        <v>26589</v>
      </c>
      <c r="G82" s="23">
        <v>6118.13</v>
      </c>
      <c r="H82" s="22"/>
      <c r="I82" s="23"/>
      <c r="J82" s="22">
        <f>16011+8054+645+777+820+250</f>
        <v>26557</v>
      </c>
      <c r="K82" s="23">
        <f>3684.13+1853.23+148.41+178.79+188.68+57.53</f>
        <v>6110.77</v>
      </c>
      <c r="L82" s="25">
        <f t="shared" si="9"/>
        <v>32</v>
      </c>
      <c r="M82" s="26">
        <f t="shared" si="8"/>
        <v>7.3599999999996726</v>
      </c>
    </row>
    <row r="83" spans="1:15" ht="31.5">
      <c r="A83" s="5"/>
      <c r="B83" s="24"/>
      <c r="C83" s="6" t="s">
        <v>44</v>
      </c>
      <c r="D83" s="7">
        <v>42573</v>
      </c>
      <c r="E83" s="8">
        <v>743</v>
      </c>
      <c r="F83" s="22">
        <v>229867</v>
      </c>
      <c r="G83" s="23">
        <v>52892.4</v>
      </c>
      <c r="H83" s="22"/>
      <c r="I83" s="23"/>
      <c r="J83" s="22">
        <f>11502+12925+12295+15158+17225+16255</f>
        <v>85360</v>
      </c>
      <c r="K83" s="23">
        <f>2646.61+2974.04+2829.08+3487.86+3963.47+3740.28</f>
        <v>19641.34</v>
      </c>
      <c r="L83" s="25">
        <f t="shared" si="9"/>
        <v>144507</v>
      </c>
      <c r="M83" s="26">
        <f t="shared" si="8"/>
        <v>33251.06</v>
      </c>
    </row>
    <row r="84" spans="1:15" ht="31.5">
      <c r="A84" s="5"/>
      <c r="B84" s="24"/>
      <c r="C84" s="6" t="s">
        <v>45</v>
      </c>
      <c r="D84" s="7">
        <v>42597</v>
      </c>
      <c r="E84" s="8"/>
      <c r="F84" s="22">
        <v>9919</v>
      </c>
      <c r="G84" s="23">
        <v>3845.59</v>
      </c>
      <c r="H84" s="22"/>
      <c r="I84" s="23"/>
      <c r="J84" s="22">
        <f>304+963+878+1098+1428+1510</f>
        <v>6181</v>
      </c>
      <c r="K84" s="23">
        <f>0+117.86+373.36+340.4+425.69+553.64+585.43</f>
        <v>2396.3799999999997</v>
      </c>
      <c r="L84" s="25">
        <f t="shared" si="9"/>
        <v>3738</v>
      </c>
      <c r="M84" s="26">
        <f t="shared" si="8"/>
        <v>1449.2100000000005</v>
      </c>
      <c r="O84" s="18"/>
    </row>
    <row r="85" spans="1:15" ht="31.5">
      <c r="A85" s="5"/>
      <c r="B85" s="24"/>
      <c r="C85" s="6" t="s">
        <v>45</v>
      </c>
      <c r="D85" s="7">
        <v>42821</v>
      </c>
      <c r="E85" s="8">
        <v>332</v>
      </c>
      <c r="F85" s="22">
        <v>129900</v>
      </c>
      <c r="G85" s="23">
        <v>54298.2</v>
      </c>
      <c r="H85" s="22"/>
      <c r="I85" s="23"/>
      <c r="J85" s="22">
        <f>240+90+30+600+340+150</f>
        <v>1450</v>
      </c>
      <c r="K85" s="23">
        <f>100.32+37.62+12.54+250.8+142.12+62.7</f>
        <v>606.1</v>
      </c>
      <c r="L85" s="25">
        <f t="shared" si="9"/>
        <v>128450</v>
      </c>
      <c r="M85" s="26">
        <f t="shared" si="8"/>
        <v>53692.1</v>
      </c>
      <c r="O85" s="18"/>
    </row>
    <row r="86" spans="1:15" ht="15.75">
      <c r="A86" s="5"/>
      <c r="B86" s="24"/>
      <c r="C86" s="6" t="s">
        <v>36</v>
      </c>
      <c r="D86" s="7">
        <v>42481</v>
      </c>
      <c r="E86" s="8">
        <v>371</v>
      </c>
      <c r="F86" s="22">
        <v>93</v>
      </c>
      <c r="G86" s="23">
        <v>6595.56</v>
      </c>
      <c r="H86" s="22"/>
      <c r="I86" s="23"/>
      <c r="J86" s="22">
        <f>76+17</f>
        <v>93</v>
      </c>
      <c r="K86" s="23">
        <f>5389.92+1205.64</f>
        <v>6595.56</v>
      </c>
      <c r="L86" s="25">
        <f t="shared" si="9"/>
        <v>0</v>
      </c>
      <c r="M86" s="26">
        <f t="shared" si="8"/>
        <v>0</v>
      </c>
    </row>
    <row r="87" spans="1:15" ht="47.25">
      <c r="A87" s="5"/>
      <c r="B87" s="24"/>
      <c r="C87" s="6" t="s">
        <v>55</v>
      </c>
      <c r="D87" s="7">
        <v>42803</v>
      </c>
      <c r="E87" s="8">
        <v>249</v>
      </c>
      <c r="F87" s="22">
        <f>65*10*10</f>
        <v>6500</v>
      </c>
      <c r="G87" s="23">
        <v>5417.1</v>
      </c>
      <c r="H87" s="22"/>
      <c r="I87" s="23"/>
      <c r="J87" s="22">
        <f>480</f>
        <v>480</v>
      </c>
      <c r="K87" s="23">
        <f>400.03</f>
        <v>400.03</v>
      </c>
      <c r="L87" s="25">
        <f t="shared" si="9"/>
        <v>6020</v>
      </c>
      <c r="M87" s="26">
        <f t="shared" si="8"/>
        <v>5017.0700000000006</v>
      </c>
    </row>
    <row r="88" spans="1:15" ht="47.25">
      <c r="A88" s="5"/>
      <c r="B88" s="24"/>
      <c r="C88" s="6" t="s">
        <v>55</v>
      </c>
      <c r="D88" s="7">
        <v>42821</v>
      </c>
      <c r="E88" s="8">
        <v>332</v>
      </c>
      <c r="F88" s="22">
        <f>7*10*10</f>
        <v>700</v>
      </c>
      <c r="G88" s="23">
        <v>598.42999999999995</v>
      </c>
      <c r="H88" s="22"/>
      <c r="I88" s="23"/>
      <c r="J88" s="22">
        <f>0</f>
        <v>0</v>
      </c>
      <c r="K88" s="23">
        <f>0</f>
        <v>0</v>
      </c>
      <c r="L88" s="25">
        <f t="shared" si="9"/>
        <v>700</v>
      </c>
      <c r="M88" s="26">
        <f t="shared" si="8"/>
        <v>598.42999999999995</v>
      </c>
    </row>
    <row r="89" spans="1:15" ht="18.75" customHeight="1">
      <c r="A89" s="5"/>
      <c r="B89" s="24"/>
      <c r="C89" s="6" t="s">
        <v>37</v>
      </c>
      <c r="D89" s="7">
        <v>42481</v>
      </c>
      <c r="E89" s="8">
        <v>371</v>
      </c>
      <c r="F89" s="22">
        <v>40</v>
      </c>
      <c r="G89" s="23">
        <v>426.4</v>
      </c>
      <c r="H89" s="22"/>
      <c r="I89" s="23"/>
      <c r="J89" s="22">
        <f>0</f>
        <v>0</v>
      </c>
      <c r="K89" s="23">
        <f>0</f>
        <v>0</v>
      </c>
      <c r="L89" s="25">
        <f t="shared" si="9"/>
        <v>40</v>
      </c>
      <c r="M89" s="26">
        <f t="shared" si="8"/>
        <v>426.4</v>
      </c>
    </row>
    <row r="90" spans="1:15" ht="31.5">
      <c r="A90" s="5"/>
      <c r="B90" s="24"/>
      <c r="C90" s="6" t="s">
        <v>54</v>
      </c>
      <c r="D90" s="7">
        <v>42698</v>
      </c>
      <c r="E90" s="8">
        <v>1280</v>
      </c>
      <c r="F90" s="22">
        <v>2220</v>
      </c>
      <c r="G90" s="23">
        <v>22510.799999999999</v>
      </c>
      <c r="H90" s="22"/>
      <c r="I90" s="23"/>
      <c r="J90" s="22">
        <f>23+1+60+170+763+806</f>
        <v>1823</v>
      </c>
      <c r="K90" s="23">
        <f>233.22+10.14+608.4+1723.8+7736.82+8172.84</f>
        <v>18485.22</v>
      </c>
      <c r="L90" s="25">
        <f t="shared" si="9"/>
        <v>397</v>
      </c>
      <c r="M90" s="26">
        <f t="shared" si="8"/>
        <v>4025.5799999999981</v>
      </c>
      <c r="N90" s="18"/>
    </row>
    <row r="91" spans="1:15" ht="33.75" customHeight="1">
      <c r="A91" s="5"/>
      <c r="B91" s="24"/>
      <c r="C91" s="6" t="s">
        <v>54</v>
      </c>
      <c r="D91" s="7">
        <v>42725</v>
      </c>
      <c r="E91" s="8">
        <v>1380</v>
      </c>
      <c r="F91" s="22">
        <v>1951</v>
      </c>
      <c r="G91" s="23">
        <v>19588.04</v>
      </c>
      <c r="H91" s="22"/>
      <c r="I91" s="23"/>
      <c r="J91" s="22">
        <f>31+259+661+932+28</f>
        <v>1911</v>
      </c>
      <c r="K91" s="23">
        <f>311.24+2600.36+6636.44+9357.28+281.12</f>
        <v>19186.439999999999</v>
      </c>
      <c r="L91" s="25">
        <f t="shared" si="9"/>
        <v>40</v>
      </c>
      <c r="M91" s="26">
        <f t="shared" si="8"/>
        <v>401.60000000000218</v>
      </c>
    </row>
    <row r="92" spans="1:15" ht="33.75" customHeight="1">
      <c r="A92" s="5"/>
      <c r="B92" s="24"/>
      <c r="C92" s="6" t="s">
        <v>54</v>
      </c>
      <c r="D92" s="7">
        <v>42738</v>
      </c>
      <c r="E92" s="8">
        <v>5</v>
      </c>
      <c r="F92" s="22">
        <v>3049</v>
      </c>
      <c r="G92" s="23">
        <v>30611.96</v>
      </c>
      <c r="H92" s="22"/>
      <c r="I92" s="23"/>
      <c r="J92" s="22">
        <f>218</f>
        <v>218</v>
      </c>
      <c r="K92" s="23">
        <f>2188.72</f>
        <v>2188.7199999999998</v>
      </c>
      <c r="L92" s="25">
        <f t="shared" si="9"/>
        <v>2831</v>
      </c>
      <c r="M92" s="26">
        <f t="shared" si="8"/>
        <v>28423.239999999998</v>
      </c>
    </row>
    <row r="93" spans="1:15" ht="15.75">
      <c r="A93" s="5"/>
      <c r="B93" s="24"/>
      <c r="C93" s="6" t="s">
        <v>38</v>
      </c>
      <c r="D93" s="7">
        <v>42789</v>
      </c>
      <c r="E93" s="8">
        <v>175</v>
      </c>
      <c r="F93" s="22">
        <v>81</v>
      </c>
      <c r="G93" s="23">
        <v>5490.99</v>
      </c>
      <c r="H93" s="22"/>
      <c r="I93" s="23"/>
      <c r="J93" s="22">
        <f>25+30+26</f>
        <v>81</v>
      </c>
      <c r="K93" s="23">
        <f>1694.75+2033.7+1762.54</f>
        <v>5490.99</v>
      </c>
      <c r="L93" s="25">
        <f t="shared" si="9"/>
        <v>0</v>
      </c>
      <c r="M93" s="26">
        <f t="shared" si="8"/>
        <v>0</v>
      </c>
    </row>
    <row r="94" spans="1:15" ht="47.25">
      <c r="A94" s="5"/>
      <c r="B94" s="24"/>
      <c r="C94" s="6" t="s">
        <v>50</v>
      </c>
      <c r="D94" s="7">
        <v>42614</v>
      </c>
      <c r="E94" s="8">
        <v>923</v>
      </c>
      <c r="F94" s="22">
        <v>268</v>
      </c>
      <c r="G94" s="23">
        <v>1773.46</v>
      </c>
      <c r="H94" s="22"/>
      <c r="I94" s="23"/>
      <c r="J94" s="22">
        <f>25+97+141+5</f>
        <v>268</v>
      </c>
      <c r="K94" s="23">
        <f>165.44+641.89+933.05+33.08</f>
        <v>1773.4599999999998</v>
      </c>
      <c r="L94" s="25">
        <f t="shared" si="9"/>
        <v>0</v>
      </c>
      <c r="M94" s="26">
        <f t="shared" si="8"/>
        <v>0</v>
      </c>
    </row>
    <row r="95" spans="1:15" ht="47.25">
      <c r="A95" s="5"/>
      <c r="B95" s="24"/>
      <c r="C95" s="6" t="s">
        <v>50</v>
      </c>
      <c r="D95" s="7">
        <v>42646</v>
      </c>
      <c r="E95" s="8">
        <v>1021</v>
      </c>
      <c r="F95" s="22">
        <v>14100</v>
      </c>
      <c r="G95" s="23">
        <v>95602.23</v>
      </c>
      <c r="H95" s="22"/>
      <c r="I95" s="23"/>
      <c r="J95" s="22">
        <f>100+2429+3966+5461+2119+25</f>
        <v>14100</v>
      </c>
      <c r="K95" s="23">
        <f>678.03+16469.35+26890.67+37027.22+14367.46+169.5</f>
        <v>95602.229999999981</v>
      </c>
      <c r="L95" s="25">
        <f t="shared" si="9"/>
        <v>0</v>
      </c>
      <c r="M95" s="26">
        <f t="shared" si="8"/>
        <v>0</v>
      </c>
    </row>
    <row r="96" spans="1:15" ht="47.25">
      <c r="A96" s="5"/>
      <c r="B96" s="24"/>
      <c r="C96" s="6" t="s">
        <v>50</v>
      </c>
      <c r="D96" s="7">
        <v>42758</v>
      </c>
      <c r="E96" s="8">
        <v>55</v>
      </c>
      <c r="F96" s="22">
        <v>31700</v>
      </c>
      <c r="G96" s="23">
        <v>221681.27</v>
      </c>
      <c r="H96" s="22"/>
      <c r="I96" s="23"/>
      <c r="J96" s="22">
        <f>338+4051+5937</f>
        <v>10326</v>
      </c>
      <c r="K96" s="23">
        <f>2363.67+28329.05+41518.03</f>
        <v>72210.75</v>
      </c>
      <c r="L96" s="25">
        <f t="shared" si="9"/>
        <v>21374</v>
      </c>
      <c r="M96" s="26">
        <f t="shared" si="8"/>
        <v>149470.51999999999</v>
      </c>
    </row>
    <row r="97" spans="1:15" ht="50.25" customHeight="1">
      <c r="A97" s="5"/>
      <c r="B97" s="24"/>
      <c r="C97" s="6" t="s">
        <v>42</v>
      </c>
      <c r="D97" s="7">
        <v>42565</v>
      </c>
      <c r="E97" s="8">
        <v>707</v>
      </c>
      <c r="F97" s="22">
        <v>974</v>
      </c>
      <c r="G97" s="23">
        <v>713.84</v>
      </c>
      <c r="H97" s="22"/>
      <c r="I97" s="23"/>
      <c r="J97" s="22">
        <f>230+100+130+254+260</f>
        <v>974</v>
      </c>
      <c r="K97" s="23">
        <f>168.57+73.29+95.28+186.16+190.54</f>
        <v>713.83999999999992</v>
      </c>
      <c r="L97" s="25">
        <f t="shared" si="9"/>
        <v>0</v>
      </c>
      <c r="M97" s="26">
        <f t="shared" si="8"/>
        <v>0</v>
      </c>
      <c r="N97" s="17"/>
    </row>
    <row r="98" spans="1:15" ht="53.25" customHeight="1">
      <c r="A98" s="5"/>
      <c r="B98" s="24"/>
      <c r="C98" s="6" t="s">
        <v>42</v>
      </c>
      <c r="D98" s="7">
        <v>42573</v>
      </c>
      <c r="E98" s="8">
        <v>743</v>
      </c>
      <c r="F98" s="22">
        <v>260</v>
      </c>
      <c r="G98" s="23">
        <v>190.54</v>
      </c>
      <c r="H98" s="22"/>
      <c r="I98" s="23"/>
      <c r="J98" s="22">
        <f>240+20</f>
        <v>260</v>
      </c>
      <c r="K98" s="23">
        <f>175.9+14.64</f>
        <v>190.54000000000002</v>
      </c>
      <c r="L98" s="25">
        <f t="shared" si="9"/>
        <v>0</v>
      </c>
      <c r="M98" s="26">
        <f t="shared" si="8"/>
        <v>0</v>
      </c>
      <c r="O98" s="18"/>
    </row>
    <row r="99" spans="1:15" ht="48.75" customHeight="1">
      <c r="A99" s="5"/>
      <c r="B99" s="24"/>
      <c r="C99" s="6" t="s">
        <v>41</v>
      </c>
      <c r="D99" s="7">
        <v>42614</v>
      </c>
      <c r="E99" s="8">
        <v>923</v>
      </c>
      <c r="F99" s="22">
        <v>75564</v>
      </c>
      <c r="G99" s="23">
        <v>94787.48</v>
      </c>
      <c r="H99" s="22"/>
      <c r="I99" s="23"/>
      <c r="J99" s="22">
        <f>5200+4736+4429+5229+4911+3913</f>
        <v>28418</v>
      </c>
      <c r="K99" s="23">
        <f>6522.88+5940.84+5555.74+6559.26+6160.36+4908.47</f>
        <v>35647.550000000003</v>
      </c>
      <c r="L99" s="25">
        <f t="shared" si="9"/>
        <v>47146</v>
      </c>
      <c r="M99" s="26">
        <f t="shared" si="8"/>
        <v>59139.929999999993</v>
      </c>
    </row>
    <row r="100" spans="1:15" ht="32.25" customHeight="1">
      <c r="A100" s="5"/>
      <c r="B100" s="24"/>
      <c r="C100" s="6" t="s">
        <v>40</v>
      </c>
      <c r="D100" s="7">
        <v>42552</v>
      </c>
      <c r="E100" s="8">
        <v>645</v>
      </c>
      <c r="F100" s="22">
        <v>1204</v>
      </c>
      <c r="G100" s="23">
        <v>910.95</v>
      </c>
      <c r="H100" s="22"/>
      <c r="I100" s="23"/>
      <c r="J100" s="22">
        <f>700+390+114</f>
        <v>1204</v>
      </c>
      <c r="K100" s="23">
        <f>529.62+295.07+86.26</f>
        <v>910.95</v>
      </c>
      <c r="L100" s="25">
        <f t="shared" si="9"/>
        <v>0</v>
      </c>
      <c r="M100" s="26">
        <f t="shared" si="8"/>
        <v>0</v>
      </c>
      <c r="O100" s="18"/>
    </row>
    <row r="101" spans="1:15" ht="33" customHeight="1">
      <c r="A101" s="5"/>
      <c r="B101" s="24"/>
      <c r="C101" s="6" t="s">
        <v>40</v>
      </c>
      <c r="D101" s="7">
        <v>42552</v>
      </c>
      <c r="E101" s="8">
        <v>645</v>
      </c>
      <c r="F101" s="22">
        <v>107490</v>
      </c>
      <c r="G101" s="23">
        <v>81326.929999999993</v>
      </c>
      <c r="H101" s="22"/>
      <c r="I101" s="23"/>
      <c r="J101" s="22">
        <f>19581+17380+17431+16166+18172+14592</f>
        <v>103322</v>
      </c>
      <c r="K101" s="23">
        <f>14814.98+13149.71+13188.29+12231.2+13748.94+11040.31</f>
        <v>78173.429999999993</v>
      </c>
      <c r="L101" s="25">
        <f t="shared" si="9"/>
        <v>4168</v>
      </c>
      <c r="M101" s="26">
        <f t="shared" si="8"/>
        <v>3153.5</v>
      </c>
    </row>
    <row r="102" spans="1:15" ht="36.75" customHeight="1">
      <c r="A102" s="5"/>
      <c r="B102" s="24"/>
      <c r="C102" s="6" t="s">
        <v>40</v>
      </c>
      <c r="D102" s="7">
        <v>42597</v>
      </c>
      <c r="E102" s="8"/>
      <c r="F102" s="22">
        <v>108800</v>
      </c>
      <c r="G102" s="23">
        <v>81926.399999999994</v>
      </c>
      <c r="H102" s="22"/>
      <c r="I102" s="23"/>
      <c r="J102" s="22">
        <f>2286</f>
        <v>2286</v>
      </c>
      <c r="K102" s="23">
        <f>1721.36</f>
        <v>1721.36</v>
      </c>
      <c r="L102" s="25">
        <f t="shared" si="9"/>
        <v>106514</v>
      </c>
      <c r="M102" s="26">
        <f t="shared" si="8"/>
        <v>80205.039999999994</v>
      </c>
    </row>
    <row r="103" spans="1:15" ht="37.5" customHeight="1">
      <c r="A103" s="5"/>
      <c r="B103" s="24"/>
      <c r="C103" s="6" t="s">
        <v>40</v>
      </c>
      <c r="D103" s="7">
        <v>42580</v>
      </c>
      <c r="E103" s="8">
        <v>794</v>
      </c>
      <c r="F103" s="22">
        <v>83200</v>
      </c>
      <c r="G103" s="23">
        <v>62649.599999999999</v>
      </c>
      <c r="H103" s="22"/>
      <c r="I103" s="23"/>
      <c r="J103" s="22">
        <f>0</f>
        <v>0</v>
      </c>
      <c r="K103" s="23">
        <f>0</f>
        <v>0</v>
      </c>
      <c r="L103" s="25">
        <f t="shared" si="9"/>
        <v>83200</v>
      </c>
      <c r="M103" s="26">
        <f t="shared" si="8"/>
        <v>62649.599999999999</v>
      </c>
      <c r="N103" s="17">
        <f>L102+L103</f>
        <v>189714</v>
      </c>
      <c r="O103" s="18">
        <f>M102+M103</f>
        <v>142854.63999999998</v>
      </c>
    </row>
    <row r="104" spans="1:15" ht="31.5">
      <c r="A104" s="5"/>
      <c r="B104" s="24"/>
      <c r="C104" s="6" t="s">
        <v>51</v>
      </c>
      <c r="D104" s="7">
        <v>42614</v>
      </c>
      <c r="E104" s="8">
        <v>923</v>
      </c>
      <c r="F104" s="22">
        <v>10280</v>
      </c>
      <c r="G104" s="23">
        <v>5337.37</v>
      </c>
      <c r="H104" s="22"/>
      <c r="I104" s="23"/>
      <c r="J104" s="22">
        <f>6076+2893+953+238+60</f>
        <v>10220</v>
      </c>
      <c r="K104" s="23">
        <f>3154.66+1502.05+494.8+123.57+31.15</f>
        <v>5306.23</v>
      </c>
      <c r="L104" s="25">
        <f t="shared" si="9"/>
        <v>60</v>
      </c>
      <c r="M104" s="26">
        <f t="shared" si="8"/>
        <v>31.140000000000327</v>
      </c>
      <c r="O104" s="18"/>
    </row>
    <row r="105" spans="1:15" ht="36.75" customHeight="1">
      <c r="A105" s="5"/>
      <c r="B105" s="24"/>
      <c r="C105" s="6" t="s">
        <v>39</v>
      </c>
      <c r="D105" s="7">
        <v>42601</v>
      </c>
      <c r="E105" s="8">
        <v>874</v>
      </c>
      <c r="F105" s="22">
        <v>50600</v>
      </c>
      <c r="G105" s="23">
        <v>26271.52</v>
      </c>
      <c r="H105" s="22"/>
      <c r="I105" s="23"/>
      <c r="J105" s="22">
        <f>467+1561+10605+16454+15850+4238</f>
        <v>49175</v>
      </c>
      <c r="K105" s="23">
        <f>242.47+810.47+5506.12+8542.92+8229.32+2200.37</f>
        <v>25531.67</v>
      </c>
      <c r="L105" s="25">
        <f t="shared" si="9"/>
        <v>1425</v>
      </c>
      <c r="M105" s="26">
        <f t="shared" si="8"/>
        <v>739.85000000000218</v>
      </c>
    </row>
    <row r="106" spans="1:15" ht="36.75" customHeight="1">
      <c r="A106" s="5"/>
      <c r="B106" s="24"/>
      <c r="C106" s="6" t="s">
        <v>56</v>
      </c>
      <c r="D106" s="7">
        <v>42821</v>
      </c>
      <c r="E106" s="8">
        <v>332</v>
      </c>
      <c r="F106" s="22">
        <v>30929</v>
      </c>
      <c r="G106" s="23">
        <v>17434.68</v>
      </c>
      <c r="H106" s="22"/>
      <c r="I106" s="23"/>
      <c r="J106" s="22">
        <f>12550+13100+4465+649+165</f>
        <v>30929</v>
      </c>
      <c r="K106" s="23">
        <f>7074.44+7384.47+2516.92+365.84+93.01</f>
        <v>17434.68</v>
      </c>
      <c r="L106" s="25">
        <f t="shared" si="9"/>
        <v>0</v>
      </c>
      <c r="M106" s="26">
        <f t="shared" si="8"/>
        <v>0</v>
      </c>
    </row>
    <row r="107" spans="1:15" ht="31.5">
      <c r="A107" s="5"/>
      <c r="B107" s="24"/>
      <c r="C107" s="6" t="s">
        <v>52</v>
      </c>
      <c r="D107" s="7">
        <v>42636</v>
      </c>
      <c r="E107" s="8">
        <v>993</v>
      </c>
      <c r="F107" s="22">
        <v>12300</v>
      </c>
      <c r="G107" s="23">
        <v>35778.239999999998</v>
      </c>
      <c r="H107" s="22"/>
      <c r="I107" s="23"/>
      <c r="J107" s="22">
        <f>200+964+3248</f>
        <v>4412</v>
      </c>
      <c r="K107" s="23">
        <f>581.76+2804.08+9447.78</f>
        <v>12833.62</v>
      </c>
      <c r="L107" s="25">
        <f t="shared" si="9"/>
        <v>7888</v>
      </c>
      <c r="M107" s="26">
        <f t="shared" si="8"/>
        <v>22944.619999999995</v>
      </c>
      <c r="O107" s="18"/>
    </row>
    <row r="108" spans="1:15" ht="31.5">
      <c r="A108" s="5"/>
      <c r="B108" s="24"/>
      <c r="C108" s="6" t="s">
        <v>52</v>
      </c>
      <c r="D108" s="7">
        <v>42636</v>
      </c>
      <c r="E108" s="8">
        <v>993</v>
      </c>
      <c r="F108" s="22">
        <v>3900</v>
      </c>
      <c r="G108" s="23">
        <v>11641.11</v>
      </c>
      <c r="H108" s="22"/>
      <c r="I108" s="23"/>
      <c r="J108" s="22">
        <f>200+100</f>
        <v>300</v>
      </c>
      <c r="K108" s="23">
        <f>596.98+298.49</f>
        <v>895.47</v>
      </c>
      <c r="L108" s="25">
        <f t="shared" si="9"/>
        <v>3600</v>
      </c>
      <c r="M108" s="26">
        <f t="shared" si="8"/>
        <v>10745.640000000001</v>
      </c>
      <c r="O108" s="18"/>
    </row>
    <row r="109" spans="1:15" ht="31.5">
      <c r="A109" s="5"/>
      <c r="B109" s="24"/>
      <c r="C109" s="6" t="s">
        <v>52</v>
      </c>
      <c r="D109" s="7">
        <v>42660</v>
      </c>
      <c r="E109" s="8">
        <v>1082</v>
      </c>
      <c r="F109" s="22">
        <v>16800</v>
      </c>
      <c r="G109" s="23">
        <v>50146.32</v>
      </c>
      <c r="H109" s="22"/>
      <c r="I109" s="23"/>
      <c r="J109" s="22">
        <f>0</f>
        <v>0</v>
      </c>
      <c r="K109" s="23">
        <f>0</f>
        <v>0</v>
      </c>
      <c r="L109" s="25">
        <f t="shared" si="9"/>
        <v>16800</v>
      </c>
      <c r="M109" s="26">
        <f t="shared" si="8"/>
        <v>50146.32</v>
      </c>
    </row>
    <row r="110" spans="1:15" ht="31.5">
      <c r="A110" s="5"/>
      <c r="B110" s="24"/>
      <c r="C110" s="6" t="s">
        <v>52</v>
      </c>
      <c r="D110" s="7">
        <v>42660</v>
      </c>
      <c r="E110" s="8">
        <v>1082</v>
      </c>
      <c r="F110" s="22">
        <v>3900</v>
      </c>
      <c r="G110" s="23">
        <v>11641.11</v>
      </c>
      <c r="H110" s="22"/>
      <c r="I110" s="23"/>
      <c r="J110" s="22">
        <f>0</f>
        <v>0</v>
      </c>
      <c r="K110" s="23">
        <f>0</f>
        <v>0</v>
      </c>
      <c r="L110" s="25">
        <f t="shared" si="9"/>
        <v>3900</v>
      </c>
      <c r="M110" s="26">
        <f t="shared" si="8"/>
        <v>11641.11</v>
      </c>
      <c r="O110" s="18"/>
    </row>
    <row r="111" spans="1:15" ht="21.75" customHeight="1">
      <c r="A111" s="5"/>
      <c r="B111" s="24"/>
      <c r="C111" s="6" t="s">
        <v>33</v>
      </c>
      <c r="D111" s="7">
        <v>42481</v>
      </c>
      <c r="E111" s="8">
        <v>371</v>
      </c>
      <c r="F111" s="22">
        <v>1700</v>
      </c>
      <c r="G111" s="23">
        <v>5409.23</v>
      </c>
      <c r="H111" s="22"/>
      <c r="I111" s="23"/>
      <c r="J111" s="22">
        <f>1000+700</f>
        <v>1700</v>
      </c>
      <c r="K111" s="23">
        <f>3181.9+2227.33</f>
        <v>5409.23</v>
      </c>
      <c r="L111" s="25">
        <f t="shared" ref="L111" si="10">F111+H111-J111</f>
        <v>0</v>
      </c>
      <c r="M111" s="26">
        <f t="shared" ref="M111" si="11">G111+I111-K111</f>
        <v>0</v>
      </c>
      <c r="O111" s="18"/>
    </row>
    <row r="112" spans="1:15" ht="47.25">
      <c r="A112" s="5"/>
      <c r="B112" s="24"/>
      <c r="C112" s="6" t="s">
        <v>46</v>
      </c>
      <c r="D112" s="7">
        <v>42565</v>
      </c>
      <c r="E112" s="8">
        <v>707</v>
      </c>
      <c r="F112" s="22">
        <v>216</v>
      </c>
      <c r="G112" s="23">
        <v>391.18</v>
      </c>
      <c r="H112" s="22"/>
      <c r="I112" s="23"/>
      <c r="J112" s="22">
        <f>216</f>
        <v>216</v>
      </c>
      <c r="K112" s="23">
        <f>391.18</f>
        <v>391.18</v>
      </c>
      <c r="L112" s="25">
        <f t="shared" ref="L112:M117" si="12">F112+H112-J112</f>
        <v>0</v>
      </c>
      <c r="M112" s="26">
        <f t="shared" si="12"/>
        <v>0</v>
      </c>
    </row>
    <row r="113" spans="1:15" ht="47.25">
      <c r="A113" s="5"/>
      <c r="B113" s="24"/>
      <c r="C113" s="6" t="s">
        <v>46</v>
      </c>
      <c r="D113" s="7">
        <v>42597</v>
      </c>
      <c r="E113" s="8"/>
      <c r="F113" s="22">
        <v>141</v>
      </c>
      <c r="G113" s="23">
        <v>255.35</v>
      </c>
      <c r="H113" s="22"/>
      <c r="I113" s="23"/>
      <c r="J113" s="22">
        <f>74</f>
        <v>74</v>
      </c>
      <c r="K113" s="23">
        <f>134.01</f>
        <v>134.01</v>
      </c>
      <c r="L113" s="25">
        <f t="shared" si="12"/>
        <v>67</v>
      </c>
      <c r="M113" s="26">
        <f t="shared" si="12"/>
        <v>121.34</v>
      </c>
    </row>
    <row r="114" spans="1:15" ht="47.25">
      <c r="A114" s="5"/>
      <c r="B114" s="24"/>
      <c r="C114" s="6" t="s">
        <v>46</v>
      </c>
      <c r="D114" s="7">
        <v>42821</v>
      </c>
      <c r="E114" s="8">
        <v>332</v>
      </c>
      <c r="F114" s="22">
        <f>373*10*5</f>
        <v>18650</v>
      </c>
      <c r="G114" s="23">
        <v>36415.99</v>
      </c>
      <c r="H114" s="22"/>
      <c r="I114" s="23"/>
      <c r="J114" s="22">
        <f>68+3287+4315+4380</f>
        <v>12050</v>
      </c>
      <c r="K114" s="23">
        <f>132.78+6418.2+8425.47+8552.39</f>
        <v>23528.839999999997</v>
      </c>
      <c r="L114" s="25">
        <f t="shared" si="12"/>
        <v>6600</v>
      </c>
      <c r="M114" s="26">
        <f t="shared" si="12"/>
        <v>12887.150000000001</v>
      </c>
    </row>
    <row r="115" spans="1:15" ht="31.5">
      <c r="A115" s="5"/>
      <c r="B115" s="24"/>
      <c r="C115" s="6" t="s">
        <v>43</v>
      </c>
      <c r="D115" s="7">
        <v>42522</v>
      </c>
      <c r="E115" s="8">
        <v>501</v>
      </c>
      <c r="F115" s="22">
        <v>139</v>
      </c>
      <c r="G115" s="23">
        <v>3229.63</v>
      </c>
      <c r="H115" s="22"/>
      <c r="I115" s="23"/>
      <c r="J115" s="22">
        <f>39+30+69</f>
        <v>138</v>
      </c>
      <c r="K115" s="23">
        <f>906.17+697.05+1603.22</f>
        <v>3206.4399999999996</v>
      </c>
      <c r="L115" s="25">
        <f t="shared" si="12"/>
        <v>1</v>
      </c>
      <c r="M115" s="26">
        <f t="shared" si="12"/>
        <v>23.190000000000509</v>
      </c>
    </row>
    <row r="116" spans="1:15" ht="15.75">
      <c r="A116" s="5"/>
      <c r="B116" s="24"/>
      <c r="C116" s="6" t="s">
        <v>34</v>
      </c>
      <c r="D116" s="7">
        <v>42494</v>
      </c>
      <c r="E116" s="8">
        <v>404</v>
      </c>
      <c r="F116" s="22">
        <v>990</v>
      </c>
      <c r="G116" s="23">
        <v>27497.25</v>
      </c>
      <c r="H116" s="22"/>
      <c r="I116" s="23"/>
      <c r="J116" s="22">
        <f>100+234+656</f>
        <v>990</v>
      </c>
      <c r="K116" s="23">
        <f>2777.5+6499.35+18220.4</f>
        <v>27497.25</v>
      </c>
      <c r="L116" s="25">
        <f t="shared" si="12"/>
        <v>0</v>
      </c>
      <c r="M116" s="26">
        <f t="shared" si="12"/>
        <v>0</v>
      </c>
      <c r="O116" s="18"/>
    </row>
    <row r="117" spans="1:15" ht="32.25" customHeight="1">
      <c r="A117" s="5"/>
      <c r="B117" s="24"/>
      <c r="C117" s="6" t="s">
        <v>47</v>
      </c>
      <c r="D117" s="7">
        <v>42565</v>
      </c>
      <c r="E117" s="8">
        <v>707</v>
      </c>
      <c r="F117" s="22">
        <v>2813</v>
      </c>
      <c r="G117" s="23">
        <v>75244.09</v>
      </c>
      <c r="H117" s="22"/>
      <c r="I117" s="23"/>
      <c r="J117" s="22">
        <f>1796+984+33</f>
        <v>2813</v>
      </c>
      <c r="K117" s="23">
        <f>48040.67+26320.72+882.7</f>
        <v>75244.09</v>
      </c>
      <c r="L117" s="25">
        <f t="shared" si="12"/>
        <v>0</v>
      </c>
      <c r="M117" s="26">
        <f t="shared" si="12"/>
        <v>0</v>
      </c>
    </row>
    <row r="118" spans="1:15" ht="39" customHeight="1">
      <c r="A118" s="5"/>
      <c r="B118" s="24"/>
      <c r="C118" s="6" t="s">
        <v>53</v>
      </c>
      <c r="D118" s="7">
        <v>42948</v>
      </c>
      <c r="E118" s="8">
        <v>878</v>
      </c>
      <c r="F118" s="22">
        <v>1</v>
      </c>
      <c r="G118" s="23">
        <v>6431.95</v>
      </c>
      <c r="H118" s="22"/>
      <c r="I118" s="23"/>
      <c r="J118" s="22">
        <f>1</f>
        <v>1</v>
      </c>
      <c r="K118" s="23">
        <f>6431.95</f>
        <v>6431.95</v>
      </c>
      <c r="L118" s="25">
        <f t="shared" si="7"/>
        <v>0</v>
      </c>
      <c r="M118" s="26">
        <f t="shared" si="8"/>
        <v>0</v>
      </c>
    </row>
    <row r="119" spans="1:15" ht="19.5" customHeight="1">
      <c r="A119" s="5"/>
      <c r="B119" s="24"/>
      <c r="C119" s="6" t="s">
        <v>75</v>
      </c>
      <c r="D119" s="7">
        <v>43067</v>
      </c>
      <c r="E119" s="8">
        <v>1482</v>
      </c>
      <c r="F119" s="27">
        <v>0.8</v>
      </c>
      <c r="G119" s="23">
        <v>8330.64</v>
      </c>
      <c r="H119" s="22"/>
      <c r="I119" s="23"/>
      <c r="J119" s="27">
        <f>0.8</f>
        <v>0.8</v>
      </c>
      <c r="K119" s="23">
        <f>8330.64</f>
        <v>8330.64</v>
      </c>
      <c r="L119" s="30">
        <f t="shared" si="7"/>
        <v>0</v>
      </c>
      <c r="M119" s="26">
        <f t="shared" si="8"/>
        <v>0</v>
      </c>
    </row>
    <row r="120" spans="1:15" ht="22.5" customHeight="1">
      <c r="A120" s="5"/>
      <c r="B120" s="24"/>
      <c r="C120" s="6" t="s">
        <v>76</v>
      </c>
      <c r="D120" s="7">
        <v>43067</v>
      </c>
      <c r="E120" s="8">
        <v>1482</v>
      </c>
      <c r="F120" s="27">
        <v>0.8</v>
      </c>
      <c r="G120" s="23">
        <v>2513.37</v>
      </c>
      <c r="H120" s="22"/>
      <c r="I120" s="23"/>
      <c r="J120" s="27">
        <f>0.8</f>
        <v>0.8</v>
      </c>
      <c r="K120" s="23">
        <f>2513.37</f>
        <v>2513.37</v>
      </c>
      <c r="L120" s="30">
        <f t="shared" si="7"/>
        <v>0</v>
      </c>
      <c r="M120" s="26">
        <f t="shared" si="8"/>
        <v>0</v>
      </c>
    </row>
    <row r="121" spans="1:15" ht="36" customHeight="1">
      <c r="A121" s="5"/>
      <c r="B121" s="24"/>
      <c r="C121" s="6" t="s">
        <v>78</v>
      </c>
      <c r="D121" s="7">
        <v>43060</v>
      </c>
      <c r="E121" s="8">
        <v>1459</v>
      </c>
      <c r="F121" s="22">
        <v>10</v>
      </c>
      <c r="G121" s="23">
        <v>104133.1</v>
      </c>
      <c r="H121" s="22"/>
      <c r="I121" s="23"/>
      <c r="J121" s="27">
        <f>3+2+1.9+1.1+2</f>
        <v>10</v>
      </c>
      <c r="K121" s="23">
        <f>31239.93+20826.62+19785.29+11454.64+20826.62</f>
        <v>104133.09999999999</v>
      </c>
      <c r="L121" s="30">
        <f t="shared" si="7"/>
        <v>0</v>
      </c>
      <c r="M121" s="26">
        <f t="shared" si="8"/>
        <v>0</v>
      </c>
    </row>
    <row r="122" spans="1:15" ht="30.75" customHeight="1">
      <c r="A122" s="5"/>
      <c r="B122" s="24"/>
      <c r="C122" s="6" t="s">
        <v>83</v>
      </c>
      <c r="D122" s="7"/>
      <c r="E122" s="8"/>
      <c r="F122" s="22">
        <v>2</v>
      </c>
      <c r="G122" s="23">
        <v>20826.62</v>
      </c>
      <c r="H122" s="22"/>
      <c r="I122" s="23"/>
      <c r="J122" s="23">
        <f>1.5+0.5</f>
        <v>2</v>
      </c>
      <c r="K122" s="23">
        <f>15619.97+5206.65</f>
        <v>20826.62</v>
      </c>
      <c r="L122" s="31">
        <f t="shared" si="7"/>
        <v>0</v>
      </c>
      <c r="M122" s="26">
        <f t="shared" si="8"/>
        <v>0</v>
      </c>
    </row>
    <row r="123" spans="1:15" ht="37.5" customHeight="1">
      <c r="A123" s="5"/>
      <c r="B123" s="24"/>
      <c r="C123" s="6" t="s">
        <v>77</v>
      </c>
      <c r="D123" s="7">
        <v>43060</v>
      </c>
      <c r="E123" s="8">
        <v>1459</v>
      </c>
      <c r="F123" s="27">
        <v>0.8</v>
      </c>
      <c r="G123" s="23">
        <v>2316.4</v>
      </c>
      <c r="H123" s="22"/>
      <c r="I123" s="23"/>
      <c r="J123" s="23">
        <f>0.8</f>
        <v>0.8</v>
      </c>
      <c r="K123" s="23">
        <f>2316.4</f>
        <v>2316.4</v>
      </c>
      <c r="L123" s="31">
        <f t="shared" si="7"/>
        <v>0</v>
      </c>
      <c r="M123" s="26">
        <f t="shared" si="8"/>
        <v>0</v>
      </c>
    </row>
    <row r="124" spans="1:15" ht="51.75" customHeight="1">
      <c r="A124" s="5"/>
      <c r="B124" s="24"/>
      <c r="C124" s="6" t="s">
        <v>79</v>
      </c>
      <c r="D124" s="7">
        <v>43060</v>
      </c>
      <c r="E124" s="8">
        <v>1459</v>
      </c>
      <c r="F124" s="22">
        <v>5</v>
      </c>
      <c r="G124" s="23">
        <v>15085.3</v>
      </c>
      <c r="H124" s="22"/>
      <c r="I124" s="23"/>
      <c r="J124" s="23">
        <f>1.5+1+0.7+0.9+0.9</f>
        <v>5.0000000000000009</v>
      </c>
      <c r="K124" s="23">
        <f>4525.59+3017.06+2111.94+2715.36+2715.35</f>
        <v>15085.300000000001</v>
      </c>
      <c r="L124" s="31">
        <f t="shared" si="7"/>
        <v>0</v>
      </c>
      <c r="M124" s="26">
        <f t="shared" si="8"/>
        <v>0</v>
      </c>
    </row>
    <row r="125" spans="1:15" ht="51.75" customHeight="1">
      <c r="A125" s="5"/>
      <c r="B125" s="24"/>
      <c r="C125" s="6" t="s">
        <v>80</v>
      </c>
      <c r="D125" s="7">
        <v>43060</v>
      </c>
      <c r="E125" s="8">
        <v>1459</v>
      </c>
      <c r="F125" s="22">
        <v>4</v>
      </c>
      <c r="G125" s="23">
        <v>15245.44</v>
      </c>
      <c r="H125" s="22"/>
      <c r="I125" s="23"/>
      <c r="J125" s="23">
        <f>1.2+0.8+0.5+0.6+0.9</f>
        <v>4</v>
      </c>
      <c r="K125" s="23">
        <f>4573.63+3049.09+1905.68+2286.82+3430.22</f>
        <v>15245.439999999999</v>
      </c>
      <c r="L125" s="31">
        <f t="shared" si="7"/>
        <v>0</v>
      </c>
      <c r="M125" s="26">
        <f t="shared" si="8"/>
        <v>0</v>
      </c>
    </row>
    <row r="126" spans="1:15" ht="46.5" customHeight="1">
      <c r="A126" s="5"/>
      <c r="B126" s="24"/>
      <c r="C126" s="6" t="s">
        <v>81</v>
      </c>
      <c r="D126" s="7">
        <v>43060</v>
      </c>
      <c r="E126" s="8">
        <v>1459</v>
      </c>
      <c r="F126" s="22">
        <v>16</v>
      </c>
      <c r="G126" s="23">
        <v>51323.519999999997</v>
      </c>
      <c r="H126" s="22"/>
      <c r="I126" s="23"/>
      <c r="J126" s="23">
        <f>4.8+3.2+2.4+2.4+3.2</f>
        <v>16</v>
      </c>
      <c r="K126" s="23">
        <f>15397.06+10264.7+7698.53+7698.53+10264.7</f>
        <v>51323.520000000004</v>
      </c>
      <c r="L126" s="31">
        <f t="shared" si="7"/>
        <v>0</v>
      </c>
      <c r="M126" s="26">
        <f t="shared" si="8"/>
        <v>0</v>
      </c>
    </row>
    <row r="127" spans="1:15" ht="32.25" customHeight="1">
      <c r="A127" s="5"/>
      <c r="B127" s="24"/>
      <c r="C127" s="6" t="s">
        <v>82</v>
      </c>
      <c r="D127" s="7"/>
      <c r="E127" s="8"/>
      <c r="F127" s="22">
        <v>2</v>
      </c>
      <c r="G127" s="23">
        <v>4332.84</v>
      </c>
      <c r="H127" s="22"/>
      <c r="I127" s="23"/>
      <c r="J127" s="23">
        <f>1.5+0.5</f>
        <v>2</v>
      </c>
      <c r="K127" s="23">
        <f>3249.63+1083.21</f>
        <v>4332.84</v>
      </c>
      <c r="L127" s="31">
        <f t="shared" si="7"/>
        <v>0</v>
      </c>
      <c r="M127" s="26">
        <f t="shared" si="8"/>
        <v>0</v>
      </c>
      <c r="N127" s="29">
        <f>SUM(L118:L127)+L79</f>
        <v>3</v>
      </c>
      <c r="O127" s="18">
        <f>SUM(M118:M127)+M79</f>
        <v>7526.79</v>
      </c>
    </row>
    <row r="128" spans="1:15" ht="15.75">
      <c r="C128" s="38" t="s">
        <v>25</v>
      </c>
      <c r="D128" s="38"/>
      <c r="E128" s="38"/>
      <c r="F128" s="28">
        <f t="shared" ref="F128:K128" si="13">SUM(F9:F127)</f>
        <v>2397726.3999999994</v>
      </c>
      <c r="G128" s="13">
        <f t="shared" si="13"/>
        <v>3881036.3400000003</v>
      </c>
      <c r="H128" s="12">
        <f>SUM(H9:H127)</f>
        <v>1708634</v>
      </c>
      <c r="I128" s="13">
        <f t="shared" si="13"/>
        <v>1585978.87</v>
      </c>
      <c r="J128" s="19">
        <f t="shared" si="13"/>
        <v>482208.39999999997</v>
      </c>
      <c r="K128" s="13">
        <f t="shared" si="13"/>
        <v>1249555.74</v>
      </c>
      <c r="L128" s="19">
        <f>SUM(L9:L127)</f>
        <v>3624152</v>
      </c>
      <c r="M128" s="13">
        <f>SUM(M9:M127)</f>
        <v>4217459.4700000016</v>
      </c>
    </row>
    <row r="129" spans="3:15" ht="17.25" customHeight="1">
      <c r="C129" s="21" t="s">
        <v>31</v>
      </c>
      <c r="D129" s="15"/>
      <c r="E129" s="15"/>
      <c r="F129" s="15"/>
      <c r="G129" s="34" t="s">
        <v>26</v>
      </c>
      <c r="H129" s="34"/>
      <c r="I129" s="4"/>
      <c r="K129" s="20"/>
      <c r="L129" s="17"/>
      <c r="M129" s="18"/>
      <c r="N129" s="20">
        <f>L128-N127</f>
        <v>3624149</v>
      </c>
      <c r="O129" s="18">
        <f>M128-O127</f>
        <v>4209932.6800000016</v>
      </c>
    </row>
    <row r="130" spans="3:15" ht="15.75">
      <c r="C130" s="14" t="s">
        <v>1</v>
      </c>
      <c r="D130" s="16"/>
      <c r="E130" s="16"/>
      <c r="F130" s="16"/>
      <c r="G130" s="34" t="s">
        <v>27</v>
      </c>
      <c r="H130" s="34"/>
      <c r="I130" s="4"/>
      <c r="L130" s="20"/>
      <c r="M130" s="20"/>
    </row>
    <row r="131" spans="3:15">
      <c r="C131" s="4"/>
      <c r="D131" s="4"/>
      <c r="E131" s="4"/>
      <c r="I131" s="4"/>
      <c r="L131" s="18"/>
      <c r="M131" s="18"/>
    </row>
    <row r="132" spans="3:15">
      <c r="H132" s="18"/>
      <c r="I132" s="18"/>
      <c r="L132" s="18"/>
    </row>
    <row r="133" spans="3:15">
      <c r="H133" s="17"/>
      <c r="I133" s="18"/>
      <c r="L133" s="20"/>
      <c r="M133" s="18"/>
    </row>
    <row r="134" spans="3:15">
      <c r="G134" s="18"/>
      <c r="H134" s="17"/>
      <c r="I134" s="18"/>
    </row>
    <row r="135" spans="3:15">
      <c r="H135" s="17"/>
      <c r="I135" s="18"/>
    </row>
    <row r="136" spans="3:15">
      <c r="I136" s="18"/>
    </row>
  </sheetData>
  <sortState ref="C24:M26">
    <sortCondition ref="C24:C26"/>
  </sortState>
  <mergeCells count="16">
    <mergeCell ref="L6:M6"/>
    <mergeCell ref="A4:M4"/>
    <mergeCell ref="A5:M5"/>
    <mergeCell ref="C128:E128"/>
    <mergeCell ref="K1:M1"/>
    <mergeCell ref="D6:E6"/>
    <mergeCell ref="F6:G6"/>
    <mergeCell ref="H6:I6"/>
    <mergeCell ref="J6:K6"/>
    <mergeCell ref="A3:M3"/>
    <mergeCell ref="A2:M2"/>
    <mergeCell ref="G129:H129"/>
    <mergeCell ref="G130:H130"/>
    <mergeCell ref="A6:A7"/>
    <mergeCell ref="B6:B7"/>
    <mergeCell ref="C6:C7"/>
  </mergeCells>
  <pageMargins left="3.937007874015748E-2" right="3.937007874015748E-2" top="3.937007874015748E-2" bottom="3.937007874015748E-2" header="0.31496062992125984" footer="0.31496062992125984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2018-07-13T06:35:29Z</dcterms:modified>
</cp:coreProperties>
</file>